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45" windowWidth="22380" windowHeight="12120" tabRatio="939" firstSheet="1" activeTab="4"/>
  </bookViews>
  <sheets>
    <sheet name="Total Benefit Cost" sheetId="1" r:id="rId1"/>
    <sheet name="ATT 1 - Costs per Hour and Mile" sheetId="2" r:id="rId2"/>
    <sheet name="ATT 2 - Dev of Project VHT VMT" sheetId="3" r:id="rId3"/>
    <sheet name="ATT 3 - VMT and VHT Estimates" sheetId="4" r:id="rId4"/>
    <sheet name="ATT 4 - Const and Maint" sheetId="5" r:id="rId5"/>
    <sheet name="ATT 5 - Travel Time Benefits" sheetId="6" r:id="rId6"/>
    <sheet name="ATT 6 - Operating Benefits" sheetId="7" r:id="rId7"/>
    <sheet name="ATT 7 - Safety Benefits" sheetId="8" r:id="rId8"/>
  </sheets>
  <definedNames/>
  <calcPr fullCalcOnLoad="1"/>
</workbook>
</file>

<file path=xl/sharedStrings.xml><?xml version="1.0" encoding="utf-8"?>
<sst xmlns="http://schemas.openxmlformats.org/spreadsheetml/2006/main" count="221" uniqueCount="140">
  <si>
    <t>Year</t>
  </si>
  <si>
    <t>Activity</t>
  </si>
  <si>
    <t>Travel Time Benefit</t>
  </si>
  <si>
    <t>Safety Benefit</t>
  </si>
  <si>
    <t>Vehicle Operation Cost Benefit</t>
  </si>
  <si>
    <t>Discount</t>
  </si>
  <si>
    <t>TOTAL</t>
  </si>
  <si>
    <t>Construction and Maintenance Costs</t>
  </si>
  <si>
    <t>Non-Disc.</t>
  </si>
  <si>
    <t>Base Year</t>
  </si>
  <si>
    <t>No-Build</t>
  </si>
  <si>
    <t>Build</t>
  </si>
  <si>
    <t>DIFFERENCE</t>
  </si>
  <si>
    <t>ADT</t>
  </si>
  <si>
    <t>Trucks</t>
  </si>
  <si>
    <t>Auto</t>
  </si>
  <si>
    <t>Truck</t>
  </si>
  <si>
    <t>Benefit per Truck VMT</t>
  </si>
  <si>
    <t>Benefit per Auto VMT</t>
  </si>
  <si>
    <t>Miles per Year</t>
  </si>
  <si>
    <t>Vehicle Cost</t>
  </si>
  <si>
    <t>User Delay</t>
  </si>
  <si>
    <t>(Future Year)</t>
  </si>
  <si>
    <t>TOTAL COST (Future Year)</t>
  </si>
  <si>
    <t>Inflation</t>
  </si>
  <si>
    <t>Discount rate is above and beyond inflation (as stated in regulations)</t>
  </si>
  <si>
    <t>Benefit per Auto VHT</t>
  </si>
  <si>
    <t>Benefit per Truck VHT</t>
  </si>
  <si>
    <t>Reduction</t>
  </si>
  <si>
    <t>Reduction of VHT</t>
  </si>
  <si>
    <t>DALIY BENEFIT (2014)</t>
  </si>
  <si>
    <t>ANNUAL BENEFIT (2014)</t>
  </si>
  <si>
    <t>Daily VMT</t>
  </si>
  <si>
    <t>Daily VHT</t>
  </si>
  <si>
    <t>Reduction of VMT</t>
  </si>
  <si>
    <t>Vehicle Operating Costs</t>
  </si>
  <si>
    <t>Assumes 25% of construction in 2016, 50% of construction in 2017, and 25% in 2018</t>
  </si>
  <si>
    <t>Safety Costs</t>
  </si>
  <si>
    <t>Safety Benefits</t>
  </si>
  <si>
    <t>Vehicle Operating Benefits</t>
  </si>
  <si>
    <t>Travel Time Benefits</t>
  </si>
  <si>
    <t>ANNUAL BENEFIT (Current Dollars)</t>
  </si>
  <si>
    <t>DALIY BENEFIT (Current Dollars)</t>
  </si>
  <si>
    <t>Alt. Disc.</t>
  </si>
  <si>
    <t>Disc. (7%)</t>
  </si>
  <si>
    <t>Disc (3%)</t>
  </si>
  <si>
    <t>Estimates of VMT and VHT</t>
  </si>
  <si>
    <t>ANNUAL COST (Current Dollars)</t>
  </si>
  <si>
    <t>Estimates of VMT and VHT by years using linear interpolation</t>
  </si>
  <si>
    <t>Benefits per VHT and VMT</t>
  </si>
  <si>
    <t>Value of Time</t>
  </si>
  <si>
    <t>Automobiles</t>
  </si>
  <si>
    <t>per hour</t>
  </si>
  <si>
    <t>Occupancy</t>
  </si>
  <si>
    <t>Fuel Economy</t>
  </si>
  <si>
    <t>MPG</t>
  </si>
  <si>
    <t>per gallon</t>
  </si>
  <si>
    <t>per mile</t>
  </si>
  <si>
    <t>Vehicle Life</t>
  </si>
  <si>
    <t>Salvage Value</t>
  </si>
  <si>
    <t>years</t>
  </si>
  <si>
    <t>Insurance</t>
  </si>
  <si>
    <t>miles</t>
  </si>
  <si>
    <t>per year</t>
  </si>
  <si>
    <t>Fuel Price</t>
  </si>
  <si>
    <t>Fuel Cost</t>
  </si>
  <si>
    <t>per VMT</t>
  </si>
  <si>
    <r>
      <t>Other Maint.</t>
    </r>
    <r>
      <rPr>
        <vertAlign val="superscript"/>
        <sz val="10"/>
        <color indexed="8"/>
        <rFont val="Arial"/>
        <family val="2"/>
      </rPr>
      <t>6</t>
    </r>
  </si>
  <si>
    <t>Other Maint.</t>
  </si>
  <si>
    <t>Ownership</t>
  </si>
  <si>
    <t>Finance Rate</t>
  </si>
  <si>
    <t>TOTAL COST</t>
  </si>
  <si>
    <t>All Vehicles</t>
  </si>
  <si>
    <t>1 -TIGER Guidance</t>
  </si>
  <si>
    <r>
      <t>Value of Time</t>
    </r>
    <r>
      <rPr>
        <vertAlign val="superscript"/>
        <sz val="10"/>
        <color indexed="8"/>
        <rFont val="Arial"/>
        <family val="2"/>
      </rPr>
      <t>1</t>
    </r>
  </si>
  <si>
    <t>AIS 0</t>
  </si>
  <si>
    <t>AIS 1</t>
  </si>
  <si>
    <t>AIS 2</t>
  </si>
  <si>
    <t>AIS 3</t>
  </si>
  <si>
    <t>AIS 4</t>
  </si>
  <si>
    <t>AIS 5</t>
  </si>
  <si>
    <t>AIS 6</t>
  </si>
  <si>
    <t>Fatal Crashes</t>
  </si>
  <si>
    <t>Non-Fatal Crash</t>
  </si>
  <si>
    <t>per VHT</t>
  </si>
  <si>
    <r>
      <t>Build</t>
    </r>
    <r>
      <rPr>
        <b/>
        <vertAlign val="superscript"/>
        <sz val="11"/>
        <color indexed="8"/>
        <rFont val="Calibri"/>
        <family val="2"/>
      </rPr>
      <t>1</t>
    </r>
  </si>
  <si>
    <t>1.  VMT and VHT for build scenario is equal to no-build until project opens.</t>
  </si>
  <si>
    <r>
      <t>Inventory Costs</t>
    </r>
    <r>
      <rPr>
        <vertAlign val="superscript"/>
        <sz val="10"/>
        <color indexed="8"/>
        <rFont val="Arial"/>
        <family val="2"/>
      </rPr>
      <t>2</t>
    </r>
  </si>
  <si>
    <t>2 - Equation 5-12, 3% interest rate, $300,000 Value of Cargo</t>
  </si>
  <si>
    <t>3 - Table 5-4, Average of Maintenance and Tires for 5 vehicle types, adjust for inflation</t>
  </si>
  <si>
    <r>
      <t>Other Maint.</t>
    </r>
    <r>
      <rPr>
        <vertAlign val="superscript"/>
        <sz val="10"/>
        <color indexed="8"/>
        <rFont val="Arial"/>
        <family val="2"/>
      </rPr>
      <t>3</t>
    </r>
  </si>
  <si>
    <r>
      <t>Owner. Cost</t>
    </r>
    <r>
      <rPr>
        <vertAlign val="superscript"/>
        <sz val="10"/>
        <color indexed="8"/>
        <rFont val="Arial"/>
        <family val="2"/>
      </rPr>
      <t>4</t>
    </r>
  </si>
  <si>
    <r>
      <t>Insurance</t>
    </r>
    <r>
      <rPr>
        <vertAlign val="superscript"/>
        <sz val="10"/>
        <color indexed="8"/>
        <rFont val="Arial"/>
        <family val="2"/>
      </rPr>
      <t>5</t>
    </r>
  </si>
  <si>
    <t>4 - Equation 5-6</t>
  </si>
  <si>
    <t>5 - Table 5-4, Average of Insurance for 5 Vehicle Types, adjusted for inflation</t>
  </si>
  <si>
    <t>6 - From http://www.thetruckersreport.com/infographics/cost-of-trucking/</t>
  </si>
  <si>
    <r>
      <t>Vehicle Cost</t>
    </r>
    <r>
      <rPr>
        <vertAlign val="superscript"/>
        <sz val="10"/>
        <color indexed="8"/>
        <rFont val="Arial"/>
        <family val="2"/>
      </rPr>
      <t>6</t>
    </r>
  </si>
  <si>
    <r>
      <t>Miles per Year</t>
    </r>
    <r>
      <rPr>
        <vertAlign val="superscript"/>
        <sz val="10"/>
        <color indexed="8"/>
        <rFont val="Arial"/>
        <family val="2"/>
      </rPr>
      <t>6</t>
    </r>
  </si>
  <si>
    <r>
      <t>Owner. Cost</t>
    </r>
    <r>
      <rPr>
        <vertAlign val="superscript"/>
        <sz val="10"/>
        <color indexed="8"/>
        <rFont val="Arial"/>
        <family val="2"/>
      </rPr>
      <t>6</t>
    </r>
  </si>
  <si>
    <r>
      <t>Insurance</t>
    </r>
    <r>
      <rPr>
        <vertAlign val="superscript"/>
        <sz val="10"/>
        <color indexed="8"/>
        <rFont val="Arial"/>
        <family val="2"/>
      </rPr>
      <t>6</t>
    </r>
  </si>
  <si>
    <t>Crash Cost (per VMT)</t>
  </si>
  <si>
    <t>7 - Based on 2012 statewide average crash rates in urban areas</t>
  </si>
  <si>
    <r>
      <t>Crash Cost</t>
    </r>
    <r>
      <rPr>
        <b/>
        <vertAlign val="superscript"/>
        <sz val="10"/>
        <color indexed="8"/>
        <rFont val="Arial"/>
        <family val="2"/>
      </rPr>
      <t>1</t>
    </r>
  </si>
  <si>
    <r>
      <t>Cost of Crash</t>
    </r>
    <r>
      <rPr>
        <b/>
        <vertAlign val="superscript"/>
        <sz val="10"/>
        <color indexed="8"/>
        <rFont val="Arial"/>
        <family val="2"/>
      </rPr>
      <t>1</t>
    </r>
  </si>
  <si>
    <r>
      <t>Crash Rate (per MVM)</t>
    </r>
    <r>
      <rPr>
        <b/>
        <vertAlign val="superscript"/>
        <sz val="10"/>
        <color indexed="8"/>
        <rFont val="Arial"/>
        <family val="2"/>
      </rPr>
      <t>7</t>
    </r>
  </si>
  <si>
    <t>ROW</t>
  </si>
  <si>
    <t>Costs</t>
  </si>
  <si>
    <t>Const &amp; Eng</t>
  </si>
  <si>
    <t>Assumes engineering = 10% of project costs</t>
  </si>
  <si>
    <t>Assumes right-of way aquisition = 14% of construction costs</t>
  </si>
  <si>
    <t>Build VMT</t>
  </si>
  <si>
    <t>No-Build VMT</t>
  </si>
  <si>
    <t>No-Build Cost per Mile</t>
  </si>
  <si>
    <t>Build Cost per Mile</t>
  </si>
  <si>
    <t>All</t>
  </si>
  <si>
    <t>No Disc.</t>
  </si>
  <si>
    <t>3% Disc.</t>
  </si>
  <si>
    <t>7% Disc.</t>
  </si>
  <si>
    <t>Benefits</t>
  </si>
  <si>
    <t>B/C Ratio</t>
  </si>
  <si>
    <t>Construction Costs</t>
  </si>
  <si>
    <t>2.  Assumes 10 percent of traffic uses old route under build alternative.</t>
  </si>
  <si>
    <t>Step 1</t>
  </si>
  <si>
    <t>Step 2</t>
  </si>
  <si>
    <t>Step 3</t>
  </si>
  <si>
    <t>Step 4</t>
  </si>
  <si>
    <t>Developed ADT values for 2018 and 2038 Traffic</t>
  </si>
  <si>
    <t>Analyzed 15 minute class counts (Station 041936)</t>
  </si>
  <si>
    <t>Determined vehicle-hours traveled based on average travel speeds and ADT</t>
  </si>
  <si>
    <t>Determined vehicle-miles traveled based on ADT and distance</t>
  </si>
  <si>
    <t>ATS (mph)</t>
  </si>
  <si>
    <t>VHT</t>
  </si>
  <si>
    <t>VMT</t>
  </si>
  <si>
    <t>No Build</t>
  </si>
  <si>
    <t>Assumes 7 percent of VHT is trucks</t>
  </si>
  <si>
    <t>Assumes 7 percent of VMT is trucks</t>
  </si>
  <si>
    <t>Under Build Alternative, assumes that 10 percent of traffic remains on old route</t>
  </si>
  <si>
    <t>Distance (mi)</t>
  </si>
  <si>
    <t>Hours Per Veh</t>
  </si>
  <si>
    <t>Development of Project VHT and VMT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</si>
</sst>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0.0000"/>
    <numFmt numFmtId="168" formatCode="0.0%"/>
    <numFmt numFmtId="169" formatCode="&quot;$&quot;#,##0.000_);[Red]\(&quot;$&quot;#,##0.000\)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6" fillId="0" borderId="0" xfId="0" applyFont="1" applyAlignment="1">
      <alignment/>
    </xf>
    <xf numFmtId="0" fontId="42" fillId="0" borderId="0" xfId="55">
      <alignment/>
      <protection/>
    </xf>
    <xf numFmtId="164" fontId="42" fillId="0" borderId="0" xfId="55" applyNumberFormat="1">
      <alignment/>
      <protection/>
    </xf>
    <xf numFmtId="2" fontId="42" fillId="0" borderId="0" xfId="55" applyNumberFormat="1" applyFill="1">
      <alignment/>
      <protection/>
    </xf>
    <xf numFmtId="1" fontId="42" fillId="0" borderId="0" xfId="55" applyNumberFormat="1" applyFill="1">
      <alignment/>
      <protection/>
    </xf>
    <xf numFmtId="0" fontId="42" fillId="0" borderId="0" xfId="55" applyAlignment="1">
      <alignment wrapText="1"/>
      <protection/>
    </xf>
    <xf numFmtId="9" fontId="42" fillId="0" borderId="0" xfId="55" applyNumberFormat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4" fontId="4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0" xfId="55" applyAlignment="1">
      <alignment horizontal="center"/>
      <protection/>
    </xf>
    <xf numFmtId="0" fontId="42" fillId="0" borderId="0" xfId="55" applyFont="1">
      <alignment/>
      <protection/>
    </xf>
    <xf numFmtId="165" fontId="42" fillId="0" borderId="10" xfId="55" applyNumberFormat="1" applyBorder="1">
      <alignment/>
      <protection/>
    </xf>
    <xf numFmtId="164" fontId="42" fillId="0" borderId="10" xfId="55" applyNumberFormat="1" applyBorder="1">
      <alignment/>
      <protection/>
    </xf>
    <xf numFmtId="165" fontId="42" fillId="0" borderId="16" xfId="55" applyNumberFormat="1" applyBorder="1">
      <alignment/>
      <protection/>
    </xf>
    <xf numFmtId="164" fontId="42" fillId="0" borderId="16" xfId="55" applyNumberFormat="1" applyBorder="1">
      <alignment/>
      <protection/>
    </xf>
    <xf numFmtId="0" fontId="42" fillId="0" borderId="17" xfId="55" applyBorder="1">
      <alignment/>
      <protection/>
    </xf>
    <xf numFmtId="0" fontId="48" fillId="33" borderId="18" xfId="55" applyFont="1" applyFill="1" applyBorder="1" applyAlignment="1">
      <alignment vertical="center"/>
      <protection/>
    </xf>
    <xf numFmtId="0" fontId="48" fillId="33" borderId="19" xfId="55" applyFont="1" applyFill="1" applyBorder="1" applyAlignment="1">
      <alignment vertical="center"/>
      <protection/>
    </xf>
    <xf numFmtId="0" fontId="48" fillId="33" borderId="20" xfId="55" applyFont="1" applyFill="1" applyBorder="1" applyAlignment="1">
      <alignment vertical="center"/>
      <protection/>
    </xf>
    <xf numFmtId="164" fontId="42" fillId="0" borderId="12" xfId="55" applyNumberFormat="1" applyBorder="1">
      <alignment/>
      <protection/>
    </xf>
    <xf numFmtId="165" fontId="42" fillId="0" borderId="14" xfId="55" applyNumberFormat="1" applyBorder="1">
      <alignment/>
      <protection/>
    </xf>
    <xf numFmtId="164" fontId="42" fillId="0" borderId="14" xfId="55" applyNumberFormat="1" applyBorder="1">
      <alignment/>
      <protection/>
    </xf>
    <xf numFmtId="164" fontId="42" fillId="0" borderId="15" xfId="55" applyNumberFormat="1" applyBorder="1">
      <alignment/>
      <protection/>
    </xf>
    <xf numFmtId="164" fontId="42" fillId="0" borderId="21" xfId="55" applyNumberFormat="1" applyBorder="1">
      <alignment/>
      <protection/>
    </xf>
    <xf numFmtId="0" fontId="48" fillId="33" borderId="18" xfId="55" applyFont="1" applyFill="1" applyBorder="1">
      <alignment/>
      <protection/>
    </xf>
    <xf numFmtId="0" fontId="48" fillId="33" borderId="19" xfId="55" applyFont="1" applyFill="1" applyBorder="1">
      <alignment/>
      <protection/>
    </xf>
    <xf numFmtId="0" fontId="48" fillId="33" borderId="20" xfId="55" applyFont="1" applyFill="1" applyBorder="1">
      <alignment/>
      <protection/>
    </xf>
    <xf numFmtId="0" fontId="42" fillId="0" borderId="0" xfId="0" applyFont="1" applyAlignment="1">
      <alignment/>
    </xf>
    <xf numFmtId="164" fontId="42" fillId="0" borderId="10" xfId="0" applyNumberFormat="1" applyFont="1" applyBorder="1" applyAlignment="1">
      <alignment/>
    </xf>
    <xf numFmtId="164" fontId="42" fillId="0" borderId="10" xfId="0" applyNumberFormat="1" applyFont="1" applyFill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2" fillId="0" borderId="17" xfId="0" applyFont="1" applyBorder="1" applyAlignment="1">
      <alignment/>
    </xf>
    <xf numFmtId="164" fontId="42" fillId="0" borderId="16" xfId="0" applyNumberFormat="1" applyFont="1" applyBorder="1" applyAlignment="1">
      <alignment/>
    </xf>
    <xf numFmtId="164" fontId="42" fillId="0" borderId="21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4" fontId="42" fillId="0" borderId="23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164" fontId="42" fillId="0" borderId="25" xfId="0" applyNumberFormat="1" applyFont="1" applyBorder="1" applyAlignment="1">
      <alignment/>
    </xf>
    <xf numFmtId="164" fontId="42" fillId="0" borderId="26" xfId="0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  <xf numFmtId="2" fontId="48" fillId="33" borderId="23" xfId="55" applyNumberFormat="1" applyFont="1" applyFill="1" applyBorder="1" applyAlignment="1">
      <alignment horizontal="center" vertical="center" wrapText="1"/>
      <protection/>
    </xf>
    <xf numFmtId="2" fontId="48" fillId="33" borderId="14" xfId="55" applyNumberFormat="1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/>
    </xf>
    <xf numFmtId="164" fontId="48" fillId="33" borderId="14" xfId="0" applyNumberFormat="1" applyFont="1" applyFill="1" applyBorder="1" applyAlignment="1">
      <alignment horizontal="center"/>
    </xf>
    <xf numFmtId="164" fontId="48" fillId="33" borderId="15" xfId="0" applyNumberFormat="1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164" fontId="48" fillId="33" borderId="27" xfId="0" applyNumberFormat="1" applyFont="1" applyFill="1" applyBorder="1" applyAlignment="1">
      <alignment horizontal="center"/>
    </xf>
    <xf numFmtId="0" fontId="49" fillId="0" borderId="28" xfId="55" applyFont="1" applyBorder="1" applyAlignment="1">
      <alignment/>
      <protection/>
    </xf>
    <xf numFmtId="0" fontId="50" fillId="0" borderId="28" xfId="0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33" borderId="29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164" fontId="47" fillId="0" borderId="14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0" fillId="0" borderId="33" xfId="0" applyNumberFormat="1" applyBorder="1" applyAlignment="1">
      <alignment horizontal="center" wrapText="1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0" xfId="0" applyNumberFormat="1" applyBorder="1" applyAlignment="1">
      <alignment horizontal="center" wrapText="1"/>
    </xf>
    <xf numFmtId="0" fontId="0" fillId="0" borderId="34" xfId="0" applyBorder="1" applyAlignment="1">
      <alignment/>
    </xf>
    <xf numFmtId="164" fontId="47" fillId="0" borderId="35" xfId="0" applyNumberFormat="1" applyFont="1" applyBorder="1" applyAlignment="1">
      <alignment/>
    </xf>
    <xf numFmtId="164" fontId="47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0" fontId="47" fillId="0" borderId="38" xfId="0" applyFont="1" applyBorder="1" applyAlignment="1">
      <alignment horizontal="center" wrapText="1"/>
    </xf>
    <xf numFmtId="164" fontId="47" fillId="0" borderId="39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40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5" fillId="33" borderId="41" xfId="0" applyFont="1" applyFill="1" applyBorder="1" applyAlignment="1">
      <alignment/>
    </xf>
    <xf numFmtId="0" fontId="45" fillId="33" borderId="42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8" fontId="42" fillId="0" borderId="10" xfId="0" applyNumberFormat="1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6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9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169" fontId="48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8" fontId="42" fillId="0" borderId="12" xfId="0" applyNumberFormat="1" applyFont="1" applyBorder="1" applyAlignment="1">
      <alignment horizontal="center"/>
    </xf>
    <xf numFmtId="8" fontId="48" fillId="0" borderId="14" xfId="0" applyNumberFormat="1" applyFont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166" fontId="48" fillId="0" borderId="14" xfId="0" applyNumberFormat="1" applyFont="1" applyBorder="1" applyAlignment="1">
      <alignment horizontal="center"/>
    </xf>
    <xf numFmtId="6" fontId="7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3" fontId="13" fillId="0" borderId="15" xfId="0" applyNumberFormat="1" applyFont="1" applyBorder="1" applyAlignment="1">
      <alignment/>
    </xf>
    <xf numFmtId="165" fontId="42" fillId="0" borderId="14" xfId="0" applyNumberFormat="1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13" xfId="0" applyFont="1" applyFill="1" applyBorder="1" applyAlignment="1">
      <alignment horizontal="left"/>
    </xf>
    <xf numFmtId="0" fontId="42" fillId="34" borderId="12" xfId="0" applyFont="1" applyFill="1" applyBorder="1" applyAlignment="1">
      <alignment/>
    </xf>
    <xf numFmtId="0" fontId="0" fillId="34" borderId="15" xfId="0" applyFill="1" applyBorder="1" applyAlignment="1">
      <alignment/>
    </xf>
    <xf numFmtId="0" fontId="6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2" fontId="48" fillId="33" borderId="30" xfId="55" applyNumberFormat="1" applyFont="1" applyFill="1" applyBorder="1" applyAlignment="1">
      <alignment vertical="center" wrapText="1"/>
      <protection/>
    </xf>
    <xf numFmtId="2" fontId="48" fillId="33" borderId="43" xfId="55" applyNumberFormat="1" applyFont="1" applyFill="1" applyBorder="1" applyAlignment="1">
      <alignment vertical="center" wrapText="1"/>
      <protection/>
    </xf>
    <xf numFmtId="2" fontId="48" fillId="33" borderId="13" xfId="55" applyNumberFormat="1" applyFont="1" applyFill="1" applyBorder="1" applyAlignment="1">
      <alignment horizontal="center" vertical="center" wrapText="1"/>
      <protection/>
    </xf>
    <xf numFmtId="2" fontId="48" fillId="33" borderId="44" xfId="55" applyNumberFormat="1" applyFont="1" applyFill="1" applyBorder="1" applyAlignment="1">
      <alignment horizontal="center" vertical="center" wrapText="1"/>
      <protection/>
    </xf>
    <xf numFmtId="164" fontId="42" fillId="0" borderId="24" xfId="55" applyNumberFormat="1" applyBorder="1">
      <alignment/>
      <protection/>
    </xf>
    <xf numFmtId="164" fontId="42" fillId="0" borderId="11" xfId="55" applyNumberFormat="1" applyBorder="1">
      <alignment/>
      <protection/>
    </xf>
    <xf numFmtId="164" fontId="42" fillId="0" borderId="13" xfId="55" applyNumberFormat="1" applyBorder="1">
      <alignment/>
      <protection/>
    </xf>
    <xf numFmtId="165" fontId="42" fillId="0" borderId="24" xfId="55" applyNumberFormat="1" applyBorder="1">
      <alignment/>
      <protection/>
    </xf>
    <xf numFmtId="165" fontId="42" fillId="0" borderId="21" xfId="55" applyNumberFormat="1" applyBorder="1">
      <alignment/>
      <protection/>
    </xf>
    <xf numFmtId="165" fontId="42" fillId="0" borderId="34" xfId="55" applyNumberFormat="1" applyBorder="1">
      <alignment/>
      <protection/>
    </xf>
    <xf numFmtId="165" fontId="42" fillId="0" borderId="36" xfId="55" applyNumberFormat="1" applyBorder="1">
      <alignment/>
      <protection/>
    </xf>
    <xf numFmtId="3" fontId="42" fillId="0" borderId="24" xfId="55" applyNumberFormat="1" applyBorder="1">
      <alignment/>
      <protection/>
    </xf>
    <xf numFmtId="3" fontId="42" fillId="0" borderId="45" xfId="55" applyNumberFormat="1" applyBorder="1">
      <alignment/>
      <protection/>
    </xf>
    <xf numFmtId="3" fontId="42" fillId="0" borderId="34" xfId="55" applyNumberFormat="1" applyBorder="1">
      <alignment/>
      <protection/>
    </xf>
    <xf numFmtId="3" fontId="42" fillId="0" borderId="46" xfId="55" applyNumberFormat="1" applyBorder="1">
      <alignment/>
      <protection/>
    </xf>
    <xf numFmtId="2" fontId="48" fillId="33" borderId="27" xfId="55" applyNumberFormat="1" applyFont="1" applyFill="1" applyBorder="1" applyAlignment="1">
      <alignment horizontal="center" vertical="center" wrapText="1"/>
      <protection/>
    </xf>
    <xf numFmtId="0" fontId="42" fillId="0" borderId="25" xfId="55" applyBorder="1">
      <alignment/>
      <protection/>
    </xf>
    <xf numFmtId="164" fontId="42" fillId="0" borderId="17" xfId="55" applyNumberFormat="1" applyBorder="1">
      <alignment/>
      <protection/>
    </xf>
    <xf numFmtId="164" fontId="42" fillId="0" borderId="22" xfId="55" applyNumberFormat="1" applyBorder="1">
      <alignment/>
      <protection/>
    </xf>
    <xf numFmtId="164" fontId="42" fillId="0" borderId="23" xfId="55" applyNumberFormat="1" applyBorder="1">
      <alignment/>
      <protection/>
    </xf>
    <xf numFmtId="165" fontId="42" fillId="0" borderId="11" xfId="55" applyNumberFormat="1" applyBorder="1">
      <alignment/>
      <protection/>
    </xf>
    <xf numFmtId="165" fontId="42" fillId="0" borderId="12" xfId="55" applyNumberFormat="1" applyBorder="1">
      <alignment/>
      <protection/>
    </xf>
    <xf numFmtId="165" fontId="42" fillId="0" borderId="13" xfId="55" applyNumberFormat="1" applyBorder="1">
      <alignment/>
      <protection/>
    </xf>
    <xf numFmtId="165" fontId="42" fillId="0" borderId="15" xfId="55" applyNumberFormat="1" applyBorder="1">
      <alignment/>
      <protection/>
    </xf>
    <xf numFmtId="164" fontId="0" fillId="0" borderId="10" xfId="0" applyNumberForma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13" fillId="0" borderId="3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4" xfId="0" applyNumberFormat="1" applyFont="1" applyBorder="1" applyAlignment="1">
      <alignment/>
    </xf>
    <xf numFmtId="170" fontId="42" fillId="0" borderId="22" xfId="55" applyNumberFormat="1" applyBorder="1">
      <alignment/>
      <protection/>
    </xf>
    <xf numFmtId="170" fontId="42" fillId="0" borderId="10" xfId="55" applyNumberFormat="1" applyBorder="1">
      <alignment/>
      <protection/>
    </xf>
    <xf numFmtId="170" fontId="42" fillId="0" borderId="23" xfId="55" applyNumberFormat="1" applyBorder="1">
      <alignment/>
      <protection/>
    </xf>
    <xf numFmtId="170" fontId="42" fillId="0" borderId="14" xfId="55" applyNumberFormat="1" applyBorder="1">
      <alignment/>
      <protection/>
    </xf>
    <xf numFmtId="170" fontId="42" fillId="0" borderId="17" xfId="55" applyNumberFormat="1" applyBorder="1">
      <alignment/>
      <protection/>
    </xf>
    <xf numFmtId="170" fontId="42" fillId="0" borderId="16" xfId="55" applyNumberFormat="1" applyBorder="1">
      <alignment/>
      <protection/>
    </xf>
    <xf numFmtId="1" fontId="42" fillId="0" borderId="22" xfId="55" applyNumberFormat="1" applyBorder="1">
      <alignment/>
      <protection/>
    </xf>
    <xf numFmtId="1" fontId="42" fillId="0" borderId="26" xfId="55" applyNumberFormat="1" applyBorder="1">
      <alignment/>
      <protection/>
    </xf>
    <xf numFmtId="1" fontId="42" fillId="0" borderId="23" xfId="55" applyNumberFormat="1" applyBorder="1">
      <alignment/>
      <protection/>
    </xf>
    <xf numFmtId="1" fontId="42" fillId="0" borderId="27" xfId="55" applyNumberFormat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51" fillId="0" borderId="14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42" fillId="0" borderId="16" xfId="0" applyFont="1" applyBorder="1" applyAlignment="1">
      <alignment horizontal="center"/>
    </xf>
    <xf numFmtId="167" fontId="42" fillId="0" borderId="16" xfId="0" applyNumberFormat="1" applyFont="1" applyBorder="1" applyAlignment="1">
      <alignment horizontal="center"/>
    </xf>
    <xf numFmtId="1" fontId="42" fillId="0" borderId="16" xfId="0" applyNumberFormat="1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167" fontId="42" fillId="0" borderId="14" xfId="0" applyNumberFormat="1" applyFont="1" applyBorder="1" applyAlignment="1">
      <alignment horizontal="center"/>
    </xf>
    <xf numFmtId="1" fontId="42" fillId="0" borderId="14" xfId="0" applyNumberFormat="1" applyFont="1" applyBorder="1" applyAlignment="1">
      <alignment horizontal="center" vertical="center"/>
    </xf>
    <xf numFmtId="0" fontId="48" fillId="33" borderId="47" xfId="0" applyFont="1" applyFill="1" applyBorder="1" applyAlignment="1">
      <alignment horizontal="center"/>
    </xf>
    <xf numFmtId="0" fontId="48" fillId="33" borderId="47" xfId="0" applyFont="1" applyFill="1" applyBorder="1" applyAlignment="1">
      <alignment horizontal="center" vertical="center"/>
    </xf>
    <xf numFmtId="3" fontId="42" fillId="0" borderId="3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5" fillId="33" borderId="4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 wrapText="1"/>
    </xf>
    <xf numFmtId="164" fontId="45" fillId="33" borderId="52" xfId="0" applyNumberFormat="1" applyFont="1" applyFill="1" applyBorder="1" applyAlignment="1">
      <alignment horizontal="center" wrapText="1"/>
    </xf>
    <xf numFmtId="164" fontId="45" fillId="33" borderId="50" xfId="0" applyNumberFormat="1" applyFont="1" applyFill="1" applyBorder="1" applyAlignment="1">
      <alignment horizontal="center" wrapText="1"/>
    </xf>
    <xf numFmtId="164" fontId="45" fillId="33" borderId="53" xfId="0" applyNumberFormat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48" xfId="0" applyFont="1" applyBorder="1" applyAlignment="1">
      <alignment horizontal="left"/>
    </xf>
    <xf numFmtId="0" fontId="49" fillId="0" borderId="54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8" fillId="33" borderId="56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3" borderId="54" xfId="0" applyFont="1" applyFill="1" applyBorder="1" applyAlignment="1">
      <alignment horizontal="center"/>
    </xf>
    <xf numFmtId="0" fontId="48" fillId="33" borderId="5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164" fontId="48" fillId="33" borderId="57" xfId="0" applyNumberFormat="1" applyFont="1" applyFill="1" applyBorder="1" applyAlignment="1">
      <alignment horizontal="center"/>
    </xf>
    <xf numFmtId="164" fontId="48" fillId="33" borderId="58" xfId="0" applyNumberFormat="1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8" fillId="33" borderId="51" xfId="0" applyFont="1" applyFill="1" applyBorder="1" applyAlignment="1">
      <alignment horizontal="center"/>
    </xf>
    <xf numFmtId="0" fontId="42" fillId="33" borderId="47" xfId="0" applyFont="1" applyFill="1" applyBorder="1" applyAlignment="1">
      <alignment horizontal="center"/>
    </xf>
    <xf numFmtId="3" fontId="42" fillId="0" borderId="52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59" xfId="0" applyNumberFormat="1" applyFont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45" fillId="33" borderId="60" xfId="0" applyFont="1" applyFill="1" applyBorder="1" applyAlignment="1">
      <alignment horizontal="center"/>
    </xf>
    <xf numFmtId="0" fontId="45" fillId="33" borderId="61" xfId="0" applyFont="1" applyFill="1" applyBorder="1" applyAlignment="1">
      <alignment horizontal="center"/>
    </xf>
    <xf numFmtId="0" fontId="45" fillId="33" borderId="62" xfId="0" applyFont="1" applyFill="1" applyBorder="1" applyAlignment="1">
      <alignment horizontal="center"/>
    </xf>
    <xf numFmtId="0" fontId="45" fillId="33" borderId="63" xfId="0" applyFont="1" applyFill="1" applyBorder="1" applyAlignment="1">
      <alignment horizontal="center"/>
    </xf>
    <xf numFmtId="0" fontId="45" fillId="33" borderId="64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45" fillId="33" borderId="41" xfId="0" applyFont="1" applyFill="1" applyBorder="1" applyAlignment="1">
      <alignment horizontal="center"/>
    </xf>
    <xf numFmtId="0" fontId="45" fillId="33" borderId="65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48" fillId="33" borderId="24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63" xfId="0" applyFont="1" applyFill="1" applyBorder="1" applyAlignment="1">
      <alignment horizontal="center"/>
    </xf>
    <xf numFmtId="0" fontId="48" fillId="33" borderId="64" xfId="0" applyFont="1" applyFill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2" fillId="0" borderId="48" xfId="55" applyFont="1" applyBorder="1" applyAlignment="1">
      <alignment horizontal="left"/>
      <protection/>
    </xf>
    <xf numFmtId="0" fontId="48" fillId="33" borderId="60" xfId="55" applyFont="1" applyFill="1" applyBorder="1" applyAlignment="1">
      <alignment horizontal="center" vertical="center" wrapText="1"/>
      <protection/>
    </xf>
    <xf numFmtId="0" fontId="48" fillId="33" borderId="64" xfId="55" applyFont="1" applyFill="1" applyBorder="1" applyAlignment="1">
      <alignment horizontal="center" vertical="center" wrapText="1"/>
      <protection/>
    </xf>
    <xf numFmtId="0" fontId="49" fillId="0" borderId="54" xfId="55" applyFont="1" applyBorder="1" applyAlignment="1">
      <alignment horizontal="center"/>
      <protection/>
    </xf>
    <xf numFmtId="0" fontId="49" fillId="0" borderId="55" xfId="55" applyFont="1" applyBorder="1" applyAlignment="1">
      <alignment horizontal="center"/>
      <protection/>
    </xf>
    <xf numFmtId="0" fontId="49" fillId="0" borderId="28" xfId="55" applyFont="1" applyBorder="1" applyAlignment="1">
      <alignment horizontal="center"/>
      <protection/>
    </xf>
    <xf numFmtId="164" fontId="48" fillId="33" borderId="31" xfId="55" applyNumberFormat="1" applyFont="1" applyFill="1" applyBorder="1" applyAlignment="1">
      <alignment horizontal="center" vertical="center" wrapText="1"/>
      <protection/>
    </xf>
    <xf numFmtId="164" fontId="48" fillId="33" borderId="14" xfId="55" applyNumberFormat="1" applyFont="1" applyFill="1" applyBorder="1" applyAlignment="1">
      <alignment horizontal="center" vertical="center" wrapText="1"/>
      <protection/>
    </xf>
    <xf numFmtId="164" fontId="42" fillId="0" borderId="0" xfId="55" applyNumberFormat="1" applyFont="1" applyAlignment="1">
      <alignment horizontal="center" wrapText="1"/>
      <protection/>
    </xf>
    <xf numFmtId="164" fontId="42" fillId="0" borderId="0" xfId="55" applyNumberFormat="1" applyAlignment="1">
      <alignment horizontal="center" wrapText="1"/>
      <protection/>
    </xf>
    <xf numFmtId="0" fontId="48" fillId="33" borderId="31" xfId="55" applyFont="1" applyFill="1" applyBorder="1" applyAlignment="1">
      <alignment horizontal="center" vertical="center" wrapText="1"/>
      <protection/>
    </xf>
    <xf numFmtId="0" fontId="48" fillId="33" borderId="14" xfId="55" applyFont="1" applyFill="1" applyBorder="1" applyAlignment="1">
      <alignment horizontal="center" vertical="center" wrapText="1"/>
      <protection/>
    </xf>
    <xf numFmtId="2" fontId="48" fillId="33" borderId="33" xfId="55" applyNumberFormat="1" applyFont="1" applyFill="1" applyBorder="1" applyAlignment="1">
      <alignment horizontal="center" vertical="center" wrapText="1"/>
      <protection/>
    </xf>
    <xf numFmtId="2" fontId="48" fillId="33" borderId="31" xfId="55" applyNumberFormat="1" applyFont="1" applyFill="1" applyBorder="1" applyAlignment="1">
      <alignment horizontal="center" vertical="center" wrapText="1"/>
      <protection/>
    </xf>
    <xf numFmtId="164" fontId="48" fillId="33" borderId="32" xfId="55" applyNumberFormat="1" applyFont="1" applyFill="1" applyBorder="1" applyAlignment="1">
      <alignment horizontal="center" vertical="center" wrapText="1"/>
      <protection/>
    </xf>
    <xf numFmtId="164" fontId="48" fillId="33" borderId="15" xfId="55" applyNumberFormat="1" applyFont="1" applyFill="1" applyBorder="1" applyAlignment="1">
      <alignment horizontal="center" vertical="center" wrapText="1"/>
      <protection/>
    </xf>
    <xf numFmtId="0" fontId="48" fillId="33" borderId="18" xfId="55" applyFont="1" applyFill="1" applyBorder="1" applyAlignment="1">
      <alignment horizontal="center" vertical="center" wrapText="1"/>
      <protection/>
    </xf>
    <xf numFmtId="0" fontId="48" fillId="33" borderId="20" xfId="55" applyFont="1" applyFill="1" applyBorder="1" applyAlignment="1">
      <alignment horizontal="center" vertical="center" wrapText="1"/>
      <protection/>
    </xf>
    <xf numFmtId="2" fontId="48" fillId="33" borderId="17" xfId="55" applyNumberFormat="1" applyFont="1" applyFill="1" applyBorder="1" applyAlignment="1">
      <alignment horizontal="center" vertical="center" wrapText="1"/>
      <protection/>
    </xf>
    <xf numFmtId="2" fontId="48" fillId="33" borderId="25" xfId="55" applyNumberFormat="1" applyFont="1" applyFill="1" applyBorder="1" applyAlignment="1">
      <alignment horizontal="center" vertical="center" wrapText="1"/>
      <protection/>
    </xf>
    <xf numFmtId="0" fontId="48" fillId="33" borderId="30" xfId="55" applyFont="1" applyFill="1" applyBorder="1" applyAlignment="1">
      <alignment horizontal="center" vertical="center" wrapText="1"/>
      <protection/>
    </xf>
    <xf numFmtId="0" fontId="48" fillId="33" borderId="13" xfId="55" applyFont="1" applyFill="1" applyBorder="1" applyAlignment="1">
      <alignment horizontal="center" vertical="center" wrapText="1"/>
      <protection/>
    </xf>
    <xf numFmtId="0" fontId="48" fillId="33" borderId="32" xfId="55" applyFont="1" applyFill="1" applyBorder="1" applyAlignment="1">
      <alignment horizontal="center" vertical="center" wrapText="1"/>
      <protection/>
    </xf>
    <xf numFmtId="0" fontId="48" fillId="33" borderId="15" xfId="55" applyFont="1" applyFill="1" applyBorder="1" applyAlignment="1">
      <alignment horizontal="center" vertical="center" wrapText="1"/>
      <protection/>
    </xf>
    <xf numFmtId="164" fontId="48" fillId="33" borderId="17" xfId="55" applyNumberFormat="1" applyFont="1" applyFill="1" applyBorder="1" applyAlignment="1">
      <alignment horizontal="center" vertical="center" wrapText="1"/>
      <protection/>
    </xf>
    <xf numFmtId="164" fontId="48" fillId="33" borderId="23" xfId="55" applyNumberFormat="1" applyFont="1" applyFill="1" applyBorder="1" applyAlignment="1">
      <alignment horizontal="center" vertical="center" wrapText="1"/>
      <protection/>
    </xf>
    <xf numFmtId="164" fontId="48" fillId="33" borderId="21" xfId="55" applyNumberFormat="1" applyFont="1" applyFill="1" applyBorder="1" applyAlignment="1">
      <alignment horizontal="center" vertical="center" wrapText="1"/>
      <protection/>
    </xf>
    <xf numFmtId="0" fontId="49" fillId="0" borderId="48" xfId="55" applyFont="1" applyBorder="1" applyAlignment="1">
      <alignment horizontal="center"/>
      <protection/>
    </xf>
    <xf numFmtId="0" fontId="48" fillId="33" borderId="56" xfId="55" applyFont="1" applyFill="1" applyBorder="1" applyAlignment="1">
      <alignment horizontal="center" vertical="center" wrapText="1"/>
      <protection/>
    </xf>
    <xf numFmtId="0" fontId="48" fillId="33" borderId="62" xfId="55" applyFont="1" applyFill="1" applyBorder="1" applyAlignment="1">
      <alignment horizontal="center" vertical="center" wrapText="1"/>
      <protection/>
    </xf>
    <xf numFmtId="164" fontId="48" fillId="33" borderId="30" xfId="55" applyNumberFormat="1" applyFont="1" applyFill="1" applyBorder="1" applyAlignment="1">
      <alignment horizontal="center" vertical="center" wrapText="1"/>
      <protection/>
    </xf>
    <xf numFmtId="164" fontId="48" fillId="33" borderId="13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A7" sqref="A7:M39"/>
    </sheetView>
  </sheetViews>
  <sheetFormatPr defaultColWidth="9.140625" defaultRowHeight="15"/>
  <cols>
    <col min="2" max="2" width="11.28125" style="0" bestFit="1" customWidth="1"/>
    <col min="3" max="3" width="11.28125" style="2" bestFit="1" customWidth="1"/>
    <col min="4" max="4" width="12.28125" style="2" bestFit="1" customWidth="1"/>
    <col min="5" max="5" width="11.140625" style="0" customWidth="1"/>
    <col min="6" max="7" width="12.28125" style="2" bestFit="1" customWidth="1"/>
    <col min="8" max="8" width="10.8515625" style="2" customWidth="1"/>
    <col min="9" max="10" width="11.28125" style="2" bestFit="1" customWidth="1"/>
    <col min="11" max="11" width="11.140625" style="0" customWidth="1"/>
    <col min="12" max="13" width="11.00390625" style="2" customWidth="1"/>
    <col min="14" max="14" width="11.57421875" style="0" bestFit="1" customWidth="1"/>
  </cols>
  <sheetData>
    <row r="1" spans="1:2" ht="15">
      <c r="A1" t="s">
        <v>9</v>
      </c>
      <c r="B1">
        <v>2014</v>
      </c>
    </row>
    <row r="3" spans="1:11" ht="15">
      <c r="A3" t="s">
        <v>5</v>
      </c>
      <c r="B3" s="3">
        <v>0.03</v>
      </c>
      <c r="C3" s="237" t="s">
        <v>25</v>
      </c>
      <c r="D3" s="237"/>
      <c r="E3" s="237"/>
      <c r="F3" s="237"/>
      <c r="G3" s="237"/>
      <c r="H3" s="237"/>
      <c r="I3" s="237"/>
      <c r="J3" s="237"/>
      <c r="K3" s="237"/>
    </row>
    <row r="4" spans="1:11" ht="15">
      <c r="A4" t="s">
        <v>43</v>
      </c>
      <c r="B4" s="3">
        <v>0.07</v>
      </c>
      <c r="C4" s="237"/>
      <c r="D4" s="237"/>
      <c r="E4" s="237"/>
      <c r="F4" s="237"/>
      <c r="G4" s="237"/>
      <c r="H4" s="237"/>
      <c r="I4" s="237"/>
      <c r="J4" s="237"/>
      <c r="K4" s="237"/>
    </row>
    <row r="5" spans="1:11" ht="15" hidden="1">
      <c r="A5" t="s">
        <v>24</v>
      </c>
      <c r="B5" s="3">
        <v>0</v>
      </c>
      <c r="C5" s="237"/>
      <c r="D5" s="237"/>
      <c r="E5" s="237"/>
      <c r="F5" s="237"/>
      <c r="G5" s="237"/>
      <c r="H5" s="237"/>
      <c r="I5" s="237"/>
      <c r="J5" s="237"/>
      <c r="K5" s="237"/>
    </row>
    <row r="6" ht="15.75" thickBot="1"/>
    <row r="7" spans="1:13" s="1" customFormat="1" ht="45" customHeight="1" thickBot="1">
      <c r="A7" s="78" t="s">
        <v>0</v>
      </c>
      <c r="B7" s="231" t="s">
        <v>120</v>
      </c>
      <c r="C7" s="232"/>
      <c r="D7" s="233"/>
      <c r="E7" s="234" t="s">
        <v>2</v>
      </c>
      <c r="F7" s="235"/>
      <c r="G7" s="236"/>
      <c r="H7" s="231" t="s">
        <v>4</v>
      </c>
      <c r="I7" s="232"/>
      <c r="J7" s="233"/>
      <c r="K7" s="229" t="s">
        <v>3</v>
      </c>
      <c r="L7" s="229"/>
      <c r="M7" s="230"/>
    </row>
    <row r="8" spans="1:13" s="1" customFormat="1" ht="15">
      <c r="A8" s="84"/>
      <c r="B8" s="92" t="s">
        <v>8</v>
      </c>
      <c r="C8" s="85" t="s">
        <v>45</v>
      </c>
      <c r="D8" s="86" t="s">
        <v>44</v>
      </c>
      <c r="E8" s="89" t="s">
        <v>8</v>
      </c>
      <c r="F8" s="85" t="s">
        <v>45</v>
      </c>
      <c r="G8" s="97" t="s">
        <v>44</v>
      </c>
      <c r="H8" s="92" t="s">
        <v>8</v>
      </c>
      <c r="I8" s="85" t="s">
        <v>45</v>
      </c>
      <c r="J8" s="86" t="s">
        <v>44</v>
      </c>
      <c r="K8" s="89" t="s">
        <v>8</v>
      </c>
      <c r="L8" s="85" t="s">
        <v>45</v>
      </c>
      <c r="M8" s="86" t="s">
        <v>44</v>
      </c>
    </row>
    <row r="9" spans="1:13" ht="15">
      <c r="A9" s="14">
        <v>2014</v>
      </c>
      <c r="B9" s="76">
        <f>'ATT 4 - Const and Maint'!H4</f>
        <v>0</v>
      </c>
      <c r="C9" s="13">
        <f>B9/(1+$B$3)^($A9-$A$9)</f>
        <v>0</v>
      </c>
      <c r="D9" s="15">
        <f>B9/(1+$B$4)^($A9-$A$9)</f>
        <v>0</v>
      </c>
      <c r="E9" s="90">
        <f>'ATT 5 - Travel Time Benefits'!G4</f>
        <v>0</v>
      </c>
      <c r="F9" s="13">
        <f>E9/(1+$B$3)^($A9-$A$9)</f>
        <v>0</v>
      </c>
      <c r="G9" s="15">
        <f>E9/(1+$B$4)^($A9-$A$9)</f>
        <v>0</v>
      </c>
      <c r="H9" s="76">
        <f>'ATT 6 - Operating Benefits'!G4</f>
        <v>0</v>
      </c>
      <c r="I9" s="13">
        <f>H9/(1+$B$3)^($A9-$A$9)</f>
        <v>0</v>
      </c>
      <c r="J9" s="15">
        <f>H9/(1+$B$4)^($A9-$A$9)</f>
        <v>0</v>
      </c>
      <c r="K9" s="90">
        <f>'ATT 7 - Safety Benefits'!G4</f>
        <v>0</v>
      </c>
      <c r="L9" s="13">
        <f>K9/(1+$B$3)^($A9-$A$9)</f>
        <v>0</v>
      </c>
      <c r="M9" s="15">
        <f>K9/(1+$B$4)^($A9-$A$9)</f>
        <v>0</v>
      </c>
    </row>
    <row r="10" spans="1:13" ht="15">
      <c r="A10" s="14">
        <v>2015</v>
      </c>
      <c r="B10" s="76">
        <f>'ATT 4 - Const and Maint'!H5</f>
        <v>2100000</v>
      </c>
      <c r="C10" s="13">
        <f aca="true" t="shared" si="0" ref="C10:C33">B10/(1+$B$3)^($A10-$A$9)</f>
        <v>2038834.9514563107</v>
      </c>
      <c r="D10" s="15">
        <f aca="true" t="shared" si="1" ref="D10:D33">B10/(1+$B$4)^($A10-$A$9)</f>
        <v>1962616.8224299063</v>
      </c>
      <c r="E10" s="90">
        <f>'ATT 5 - Travel Time Benefits'!G5</f>
        <v>0</v>
      </c>
      <c r="F10" s="13">
        <f aca="true" t="shared" si="2" ref="F10:F33">E10/(1+$B$3)^($A10-$A$9)</f>
        <v>0</v>
      </c>
      <c r="G10" s="15">
        <f aca="true" t="shared" si="3" ref="G10:G33">E10/(1+$B$4)^($A10-$A$9)</f>
        <v>0</v>
      </c>
      <c r="H10" s="76">
        <f>'ATT 6 - Operating Benefits'!G5</f>
        <v>0</v>
      </c>
      <c r="I10" s="13">
        <f aca="true" t="shared" si="4" ref="I10:I33">H10/(1+$B$3)^($A10-$A$9)</f>
        <v>0</v>
      </c>
      <c r="J10" s="15">
        <f aca="true" t="shared" si="5" ref="J10:J33">H10/(1+$B$4)^($A10-$A$9)</f>
        <v>0</v>
      </c>
      <c r="K10" s="90">
        <f>'ATT 7 - Safety Benefits'!G5</f>
        <v>0</v>
      </c>
      <c r="L10" s="13">
        <f aca="true" t="shared" si="6" ref="L10:L33">K10/(1+$B$3)^($A10-$A$9)</f>
        <v>0</v>
      </c>
      <c r="M10" s="15">
        <f aca="true" t="shared" si="7" ref="M10:M33">K10/(1+$B$4)^($A10-$A$9)</f>
        <v>0</v>
      </c>
    </row>
    <row r="11" spans="1:13" ht="15">
      <c r="A11" s="14">
        <v>2016</v>
      </c>
      <c r="B11" s="76">
        <f>'ATT 4 - Const and Maint'!H6</f>
        <v>3712500.0000000005</v>
      </c>
      <c r="C11" s="13">
        <f t="shared" si="0"/>
        <v>3499387.312659064</v>
      </c>
      <c r="D11" s="15">
        <f t="shared" si="1"/>
        <v>3242641.2787142987</v>
      </c>
      <c r="E11" s="90">
        <f>'ATT 5 - Travel Time Benefits'!G6</f>
        <v>0</v>
      </c>
      <c r="F11" s="13">
        <f t="shared" si="2"/>
        <v>0</v>
      </c>
      <c r="G11" s="15">
        <f t="shared" si="3"/>
        <v>0</v>
      </c>
      <c r="H11" s="76">
        <f>'ATT 6 - Operating Benefits'!G6</f>
        <v>0</v>
      </c>
      <c r="I11" s="13">
        <f t="shared" si="4"/>
        <v>0</v>
      </c>
      <c r="J11" s="15">
        <f t="shared" si="5"/>
        <v>0</v>
      </c>
      <c r="K11" s="90">
        <f>'ATT 7 - Safety Benefits'!G6</f>
        <v>0</v>
      </c>
      <c r="L11" s="13">
        <f t="shared" si="6"/>
        <v>0</v>
      </c>
      <c r="M11" s="15">
        <f t="shared" si="7"/>
        <v>0</v>
      </c>
    </row>
    <row r="12" spans="1:13" ht="15">
      <c r="A12" s="14">
        <v>2017</v>
      </c>
      <c r="B12" s="76">
        <f>'ATT 4 - Const and Maint'!H7</f>
        <v>7975000.000000001</v>
      </c>
      <c r="C12" s="13">
        <f t="shared" si="0"/>
        <v>7298254.733341448</v>
      </c>
      <c r="D12" s="15">
        <f t="shared" si="1"/>
        <v>6509975.5682045445</v>
      </c>
      <c r="E12" s="90">
        <f>'ATT 5 - Travel Time Benefits'!G7</f>
        <v>0</v>
      </c>
      <c r="F12" s="13">
        <f t="shared" si="2"/>
        <v>0</v>
      </c>
      <c r="G12" s="15">
        <f t="shared" si="3"/>
        <v>0</v>
      </c>
      <c r="H12" s="76">
        <f>'ATT 6 - Operating Benefits'!G7</f>
        <v>0</v>
      </c>
      <c r="I12" s="13">
        <f t="shared" si="4"/>
        <v>0</v>
      </c>
      <c r="J12" s="15">
        <f t="shared" si="5"/>
        <v>0</v>
      </c>
      <c r="K12" s="90">
        <f>'ATT 7 - Safety Benefits'!G7</f>
        <v>0</v>
      </c>
      <c r="L12" s="13">
        <f t="shared" si="6"/>
        <v>0</v>
      </c>
      <c r="M12" s="15">
        <f t="shared" si="7"/>
        <v>0</v>
      </c>
    </row>
    <row r="13" spans="1:13" ht="15">
      <c r="A13" s="14">
        <v>2018</v>
      </c>
      <c r="B13" s="76">
        <f>'ATT 4 - Const and Maint'!H8</f>
        <v>3712500.0000000005</v>
      </c>
      <c r="C13" s="13">
        <f t="shared" si="0"/>
        <v>3298508.1653869958</v>
      </c>
      <c r="D13" s="15">
        <f t="shared" si="1"/>
        <v>2832248.4747264376</v>
      </c>
      <c r="E13" s="90">
        <f>'ATT 5 - Travel Time Benefits'!G8</f>
        <v>0</v>
      </c>
      <c r="F13" s="13">
        <f t="shared" si="2"/>
        <v>0</v>
      </c>
      <c r="G13" s="15">
        <f t="shared" si="3"/>
        <v>0</v>
      </c>
      <c r="H13" s="76">
        <f>'ATT 6 - Operating Benefits'!G8</f>
        <v>0</v>
      </c>
      <c r="I13" s="13">
        <f t="shared" si="4"/>
        <v>0</v>
      </c>
      <c r="J13" s="15">
        <f t="shared" si="5"/>
        <v>0</v>
      </c>
      <c r="K13" s="90">
        <f>'ATT 7 - Safety Benefits'!G8</f>
        <v>0</v>
      </c>
      <c r="L13" s="13">
        <f t="shared" si="6"/>
        <v>0</v>
      </c>
      <c r="M13" s="15">
        <f t="shared" si="7"/>
        <v>0</v>
      </c>
    </row>
    <row r="14" spans="1:13" ht="15">
      <c r="A14" s="14">
        <v>2019</v>
      </c>
      <c r="B14" s="76">
        <f>'ATT 4 - Const and Maint'!H9</f>
        <v>0</v>
      </c>
      <c r="C14" s="13">
        <f t="shared" si="0"/>
        <v>0</v>
      </c>
      <c r="D14" s="15">
        <f t="shared" si="1"/>
        <v>0</v>
      </c>
      <c r="E14" s="90">
        <f>'ATT 5 - Travel Time Benefits'!G9</f>
        <v>416298.7853040914</v>
      </c>
      <c r="F14" s="13">
        <f t="shared" si="2"/>
        <v>359102.98913176643</v>
      </c>
      <c r="G14" s="15">
        <f t="shared" si="3"/>
        <v>296815.280457656</v>
      </c>
      <c r="H14" s="76">
        <f>'ATT 6 - Operating Benefits'!G9</f>
        <v>0</v>
      </c>
      <c r="I14" s="13">
        <f t="shared" si="4"/>
        <v>0</v>
      </c>
      <c r="J14" s="15">
        <f t="shared" si="5"/>
        <v>0</v>
      </c>
      <c r="K14" s="90">
        <f>'ATT 7 - Safety Benefits'!G9</f>
        <v>662143.2474938513</v>
      </c>
      <c r="L14" s="13">
        <f t="shared" si="6"/>
        <v>571170.5818088538</v>
      </c>
      <c r="M14" s="15">
        <f t="shared" si="7"/>
        <v>472098.98430155014</v>
      </c>
    </row>
    <row r="15" spans="1:13" ht="15">
      <c r="A15" s="14">
        <v>2020</v>
      </c>
      <c r="B15" s="76">
        <f>'ATT 4 - Const and Maint'!H10</f>
        <v>0</v>
      </c>
      <c r="C15" s="13">
        <f t="shared" si="0"/>
        <v>0</v>
      </c>
      <c r="D15" s="15">
        <f t="shared" si="1"/>
        <v>0</v>
      </c>
      <c r="E15" s="90">
        <f>'ATT 5 - Travel Time Benefits'!G10</f>
        <v>423246.4871788138</v>
      </c>
      <c r="F15" s="13">
        <f t="shared" si="2"/>
        <v>354462.2697089167</v>
      </c>
      <c r="G15" s="15">
        <f t="shared" si="3"/>
        <v>282027.00548925786</v>
      </c>
      <c r="H15" s="76">
        <f>'ATT 6 - Operating Benefits'!G10</f>
        <v>0</v>
      </c>
      <c r="I15" s="13">
        <f t="shared" si="4"/>
        <v>0</v>
      </c>
      <c r="J15" s="15">
        <f t="shared" si="5"/>
        <v>0</v>
      </c>
      <c r="K15" s="90">
        <f>'ATT 7 - Safety Benefits'!G10</f>
        <v>673193.9016017775</v>
      </c>
      <c r="L15" s="13">
        <f t="shared" si="6"/>
        <v>563789.2942869338</v>
      </c>
      <c r="M15" s="15">
        <f t="shared" si="7"/>
        <v>448577.521453043</v>
      </c>
    </row>
    <row r="16" spans="1:13" ht="15">
      <c r="A16" s="14">
        <v>2021</v>
      </c>
      <c r="B16" s="76">
        <f>'ATT 4 - Const and Maint'!H11</f>
        <v>0</v>
      </c>
      <c r="C16" s="13">
        <f t="shared" si="0"/>
        <v>0</v>
      </c>
      <c r="D16" s="15">
        <f t="shared" si="1"/>
        <v>0</v>
      </c>
      <c r="E16" s="90">
        <f>'ATT 5 - Travel Time Benefits'!G11</f>
        <v>430194.18905353616</v>
      </c>
      <c r="F16" s="13">
        <f t="shared" si="2"/>
        <v>349787.24334866815</v>
      </c>
      <c r="G16" s="15">
        <f t="shared" si="3"/>
        <v>267903.32019334065</v>
      </c>
      <c r="H16" s="76">
        <f>'ATT 6 - Operating Benefits'!G11</f>
        <v>0</v>
      </c>
      <c r="I16" s="13">
        <f t="shared" si="4"/>
        <v>0</v>
      </c>
      <c r="J16" s="15">
        <f t="shared" si="5"/>
        <v>0</v>
      </c>
      <c r="K16" s="90">
        <f>'ATT 7 - Safety Benefits'!G11</f>
        <v>684244.5557097041</v>
      </c>
      <c r="L16" s="13">
        <f t="shared" si="6"/>
        <v>556353.4399304648</v>
      </c>
      <c r="M16" s="15">
        <f t="shared" si="7"/>
        <v>426113.1204541549</v>
      </c>
    </row>
    <row r="17" spans="1:13" ht="15">
      <c r="A17" s="14">
        <v>2022</v>
      </c>
      <c r="B17" s="76">
        <f>'ATT 4 - Const and Maint'!H12</f>
        <v>0</v>
      </c>
      <c r="C17" s="13">
        <f t="shared" si="0"/>
        <v>0</v>
      </c>
      <c r="D17" s="15">
        <f t="shared" si="1"/>
        <v>0</v>
      </c>
      <c r="E17" s="90">
        <f>'ATT 5 - Travel Time Benefits'!G12</f>
        <v>437141.8909282484</v>
      </c>
      <c r="F17" s="13">
        <f t="shared" si="2"/>
        <v>345083.84540421463</v>
      </c>
      <c r="G17" s="15">
        <f t="shared" si="3"/>
        <v>254420.56050701757</v>
      </c>
      <c r="H17" s="76">
        <f>'ATT 6 - Operating Benefits'!G12</f>
        <v>0</v>
      </c>
      <c r="I17" s="13">
        <f t="shared" si="4"/>
        <v>0</v>
      </c>
      <c r="J17" s="15">
        <f t="shared" si="5"/>
        <v>0</v>
      </c>
      <c r="K17" s="90">
        <f>'ATT 7 - Safety Benefits'!G12</f>
        <v>695295.2098176301</v>
      </c>
      <c r="L17" s="13">
        <f t="shared" si="6"/>
        <v>548872.4592042827</v>
      </c>
      <c r="M17" s="15">
        <f t="shared" si="7"/>
        <v>404668.14247431944</v>
      </c>
    </row>
    <row r="18" spans="1:13" ht="15">
      <c r="A18" s="14">
        <v>2023</v>
      </c>
      <c r="B18" s="76">
        <f>'ATT 4 - Const and Maint'!H13</f>
        <v>0</v>
      </c>
      <c r="C18" s="13">
        <f t="shared" si="0"/>
        <v>0</v>
      </c>
      <c r="D18" s="15">
        <f t="shared" si="1"/>
        <v>0</v>
      </c>
      <c r="E18" s="90">
        <f>'ATT 5 - Travel Time Benefits'!G13</f>
        <v>444089.5928029708</v>
      </c>
      <c r="F18" s="13">
        <f t="shared" si="2"/>
        <v>340357.69458386477</v>
      </c>
      <c r="G18" s="15">
        <f t="shared" si="3"/>
        <v>241555.31425599023</v>
      </c>
      <c r="H18" s="76">
        <f>'ATT 6 - Operating Benefits'!G13</f>
        <v>0</v>
      </c>
      <c r="I18" s="13">
        <f t="shared" si="4"/>
        <v>0</v>
      </c>
      <c r="J18" s="15">
        <f t="shared" si="5"/>
        <v>0</v>
      </c>
      <c r="K18" s="90">
        <f>'ATT 7 - Safety Benefits'!G13</f>
        <v>706345.863925556</v>
      </c>
      <c r="L18" s="13">
        <f t="shared" si="6"/>
        <v>541355.2889342607</v>
      </c>
      <c r="M18" s="15">
        <f t="shared" si="7"/>
        <v>384205.349323861</v>
      </c>
    </row>
    <row r="19" spans="1:13" ht="15">
      <c r="A19" s="14">
        <v>2024</v>
      </c>
      <c r="B19" s="76">
        <f>'ATT 4 - Const and Maint'!H14</f>
        <v>0</v>
      </c>
      <c r="C19" s="13">
        <f t="shared" si="0"/>
        <v>0</v>
      </c>
      <c r="D19" s="15">
        <f t="shared" si="1"/>
        <v>0</v>
      </c>
      <c r="E19" s="90">
        <f>'ATT 5 - Travel Time Benefits'!G14</f>
        <v>451037.2946776933</v>
      </c>
      <c r="F19" s="13">
        <f t="shared" si="2"/>
        <v>335614.10636115266</v>
      </c>
      <c r="G19" s="15">
        <f t="shared" si="3"/>
        <v>229284.4894757635</v>
      </c>
      <c r="H19" s="76">
        <f>'ATT 6 - Operating Benefits'!G14</f>
        <v>0</v>
      </c>
      <c r="I19" s="13">
        <f t="shared" si="4"/>
        <v>0</v>
      </c>
      <c r="J19" s="15">
        <f t="shared" si="5"/>
        <v>0</v>
      </c>
      <c r="K19" s="90">
        <f>'ATT 7 - Safety Benefits'!G14</f>
        <v>717396.5180334825</v>
      </c>
      <c r="L19" s="13">
        <f t="shared" si="6"/>
        <v>533810.3836368131</v>
      </c>
      <c r="M19" s="15">
        <f t="shared" si="7"/>
        <v>364688.0121222321</v>
      </c>
    </row>
    <row r="20" spans="1:13" ht="15">
      <c r="A20" s="14">
        <v>2025</v>
      </c>
      <c r="B20" s="76">
        <f>'ATT 4 - Const and Maint'!H15</f>
        <v>0</v>
      </c>
      <c r="C20" s="13">
        <f t="shared" si="0"/>
        <v>0</v>
      </c>
      <c r="D20" s="15">
        <f t="shared" si="1"/>
        <v>0</v>
      </c>
      <c r="E20" s="90">
        <f>'ATT 5 - Travel Time Benefits'!G15</f>
        <v>457984.99655240565</v>
      </c>
      <c r="F20" s="13">
        <f t="shared" si="2"/>
        <v>330858.1058724686</v>
      </c>
      <c r="G20" s="15">
        <f t="shared" si="3"/>
        <v>217585.37271564163</v>
      </c>
      <c r="H20" s="76">
        <f>'ATT 6 - Operating Benefits'!G15</f>
        <v>0</v>
      </c>
      <c r="I20" s="13">
        <f t="shared" si="4"/>
        <v>0</v>
      </c>
      <c r="J20" s="15">
        <f t="shared" si="5"/>
        <v>0</v>
      </c>
      <c r="K20" s="90">
        <f>'ATT 7 - Safety Benefits'!G15</f>
        <v>728447.1721414083</v>
      </c>
      <c r="L20" s="13">
        <f t="shared" si="6"/>
        <v>526245.7360331545</v>
      </c>
      <c r="M20" s="15">
        <f t="shared" si="7"/>
        <v>346080.00403329136</v>
      </c>
    </row>
    <row r="21" spans="1:13" ht="15">
      <c r="A21" s="14">
        <v>2026</v>
      </c>
      <c r="B21" s="76">
        <f>'ATT 4 - Const and Maint'!H16</f>
        <v>0</v>
      </c>
      <c r="C21" s="13">
        <f t="shared" si="0"/>
        <v>0</v>
      </c>
      <c r="D21" s="15">
        <f t="shared" si="1"/>
        <v>0</v>
      </c>
      <c r="E21" s="90">
        <f>'ATT 5 - Travel Time Benefits'!G16</f>
        <v>464932.69842712785</v>
      </c>
      <c r="F21" s="13">
        <f t="shared" si="2"/>
        <v>326094.44032061467</v>
      </c>
      <c r="G21" s="15">
        <f t="shared" si="3"/>
        <v>206435.67834371096</v>
      </c>
      <c r="H21" s="76">
        <f>'ATT 6 - Operating Benefits'!G16</f>
        <v>0</v>
      </c>
      <c r="I21" s="13">
        <f t="shared" si="4"/>
        <v>0</v>
      </c>
      <c r="J21" s="15">
        <f t="shared" si="5"/>
        <v>0</v>
      </c>
      <c r="K21" s="90">
        <f>'ATT 7 - Safety Benefits'!G16</f>
        <v>739497.8262493351</v>
      </c>
      <c r="L21" s="13">
        <f t="shared" si="6"/>
        <v>518668.89677772275</v>
      </c>
      <c r="M21" s="15">
        <f t="shared" si="7"/>
        <v>328345.8786872321</v>
      </c>
    </row>
    <row r="22" spans="1:13" ht="15">
      <c r="A22" s="14">
        <v>2027</v>
      </c>
      <c r="B22" s="76">
        <f>'ATT 4 - Const and Maint'!H17</f>
        <v>0</v>
      </c>
      <c r="C22" s="13">
        <f t="shared" si="0"/>
        <v>0</v>
      </c>
      <c r="D22" s="15">
        <f t="shared" si="1"/>
        <v>0</v>
      </c>
      <c r="E22" s="90">
        <f>'ATT 5 - Travel Time Benefits'!G17</f>
        <v>471880.4003018503</v>
      </c>
      <c r="F22" s="13">
        <f t="shared" si="2"/>
        <v>321327.59090206213</v>
      </c>
      <c r="G22" s="15">
        <f t="shared" si="3"/>
        <v>195813.5897806794</v>
      </c>
      <c r="H22" s="76">
        <f>'ATT 6 - Operating Benefits'!G17</f>
        <v>0</v>
      </c>
      <c r="I22" s="13">
        <f t="shared" si="4"/>
        <v>0</v>
      </c>
      <c r="J22" s="15">
        <f t="shared" si="5"/>
        <v>0</v>
      </c>
      <c r="K22" s="90">
        <f>'ATT 7 - Safety Benefits'!G17</f>
        <v>750548.4803572609</v>
      </c>
      <c r="L22" s="13">
        <f t="shared" si="6"/>
        <v>511086.99342912016</v>
      </c>
      <c r="M22" s="15">
        <f t="shared" si="7"/>
        <v>311450.93576503167</v>
      </c>
    </row>
    <row r="23" spans="1:13" ht="15">
      <c r="A23" s="14">
        <v>2028</v>
      </c>
      <c r="B23" s="76">
        <f>'ATT 4 - Const and Maint'!H18</f>
        <v>0</v>
      </c>
      <c r="C23" s="13">
        <f t="shared" si="0"/>
        <v>0</v>
      </c>
      <c r="D23" s="15">
        <f t="shared" si="1"/>
        <v>0</v>
      </c>
      <c r="E23" s="90">
        <f>'ATT 5 - Travel Time Benefits'!G18</f>
        <v>478828.10217656265</v>
      </c>
      <c r="F23" s="13">
        <f t="shared" si="2"/>
        <v>316561.78427526273</v>
      </c>
      <c r="G23" s="15">
        <f t="shared" si="3"/>
        <v>185697.79350767628</v>
      </c>
      <c r="H23" s="76">
        <f>'ATT 6 - Operating Benefits'!G18</f>
        <v>0</v>
      </c>
      <c r="I23" s="13">
        <f t="shared" si="4"/>
        <v>0</v>
      </c>
      <c r="J23" s="15">
        <f t="shared" si="5"/>
        <v>0</v>
      </c>
      <c r="K23" s="90">
        <f>'ATT 7 - Safety Benefits'!G18</f>
        <v>761599.1344651874</v>
      </c>
      <c r="L23" s="13">
        <f t="shared" si="6"/>
        <v>503506.74869098427</v>
      </c>
      <c r="M23" s="15">
        <f t="shared" si="7"/>
        <v>295361.27508947166</v>
      </c>
    </row>
    <row r="24" spans="1:13" ht="15">
      <c r="A24" s="14">
        <v>2029</v>
      </c>
      <c r="B24" s="76">
        <f>'ATT 4 - Const and Maint'!H19</f>
        <v>0</v>
      </c>
      <c r="C24" s="13">
        <f t="shared" si="0"/>
        <v>0</v>
      </c>
      <c r="D24" s="15">
        <f t="shared" si="1"/>
        <v>0</v>
      </c>
      <c r="E24" s="90">
        <f>'ATT 5 - Travel Time Benefits'!G19</f>
        <v>485775.80405128497</v>
      </c>
      <c r="F24" s="13">
        <f t="shared" si="2"/>
        <v>311801.0035865641</v>
      </c>
      <c r="G24" s="15">
        <f t="shared" si="3"/>
        <v>176067.5066169551</v>
      </c>
      <c r="H24" s="76">
        <f>'ATT 6 - Operating Benefits'!G19</f>
        <v>0</v>
      </c>
      <c r="I24" s="13">
        <f t="shared" si="4"/>
        <v>0</v>
      </c>
      <c r="J24" s="15">
        <f t="shared" si="5"/>
        <v>0</v>
      </c>
      <c r="K24" s="90">
        <f>'ATT 7 - Safety Benefits'!G19</f>
        <v>772649.7885731135</v>
      </c>
      <c r="L24" s="13">
        <f t="shared" si="6"/>
        <v>495934.4979492008</v>
      </c>
      <c r="M24" s="15">
        <f t="shared" si="7"/>
        <v>280043.8404458357</v>
      </c>
    </row>
    <row r="25" spans="1:13" ht="15">
      <c r="A25" s="14">
        <v>2030</v>
      </c>
      <c r="B25" s="76">
        <f>'ATT 4 - Const and Maint'!H20</f>
        <v>0</v>
      </c>
      <c r="C25" s="13">
        <f t="shared" si="0"/>
        <v>0</v>
      </c>
      <c r="D25" s="15">
        <f t="shared" si="1"/>
        <v>0</v>
      </c>
      <c r="E25" s="90">
        <f>'ATT 5 - Travel Time Benefits'!G20</f>
        <v>492723.5059259973</v>
      </c>
      <c r="F25" s="13">
        <f t="shared" si="2"/>
        <v>307048.9990697076</v>
      </c>
      <c r="G25" s="15">
        <f t="shared" si="3"/>
        <v>166902.4986047723</v>
      </c>
      <c r="H25" s="76">
        <f>'ATT 6 - Operating Benefits'!G20</f>
        <v>0</v>
      </c>
      <c r="I25" s="13">
        <f t="shared" si="4"/>
        <v>0</v>
      </c>
      <c r="J25" s="15">
        <f t="shared" si="5"/>
        <v>0</v>
      </c>
      <c r="K25" s="90">
        <f>'ATT 7 - Safety Benefits'!G20</f>
        <v>783700.44268104</v>
      </c>
      <c r="L25" s="13">
        <f t="shared" si="6"/>
        <v>488376.2061309924</v>
      </c>
      <c r="M25" s="15">
        <f t="shared" si="7"/>
        <v>265466.4542445778</v>
      </c>
    </row>
    <row r="26" spans="1:13" ht="15">
      <c r="A26" s="14">
        <v>2031</v>
      </c>
      <c r="B26" s="76">
        <f>'ATT 4 - Const and Maint'!H21</f>
        <v>0</v>
      </c>
      <c r="C26" s="13">
        <f t="shared" si="0"/>
        <v>0</v>
      </c>
      <c r="D26" s="15">
        <f t="shared" si="1"/>
        <v>0</v>
      </c>
      <c r="E26" s="90">
        <f>'ATT 5 - Travel Time Benefits'!G21</f>
        <v>499671.20780071965</v>
      </c>
      <c r="F26" s="13">
        <f t="shared" si="2"/>
        <v>302309.2982345555</v>
      </c>
      <c r="G26" s="15">
        <f t="shared" si="3"/>
        <v>158183.10804197856</v>
      </c>
      <c r="H26" s="76">
        <f>'ATT 6 - Operating Benefits'!G21</f>
        <v>0</v>
      </c>
      <c r="I26" s="13">
        <f t="shared" si="4"/>
        <v>0</v>
      </c>
      <c r="J26" s="15">
        <f t="shared" si="5"/>
        <v>0</v>
      </c>
      <c r="K26" s="90">
        <f>'ATT 7 - Safety Benefits'!G21</f>
        <v>794751.0967889659</v>
      </c>
      <c r="L26" s="13">
        <f t="shared" si="6"/>
        <v>480837.4839104939</v>
      </c>
      <c r="M26" s="15">
        <f t="shared" si="7"/>
        <v>251597.84403664988</v>
      </c>
    </row>
    <row r="27" spans="1:13" ht="15">
      <c r="A27" s="14">
        <v>2032</v>
      </c>
      <c r="B27" s="76">
        <f>'ATT 4 - Const and Maint'!H22</f>
        <v>0</v>
      </c>
      <c r="C27" s="13">
        <f t="shared" si="0"/>
        <v>0</v>
      </c>
      <c r="D27" s="15">
        <f t="shared" si="1"/>
        <v>0</v>
      </c>
      <c r="E27" s="90">
        <f>'ATT 5 - Travel Time Benefits'!G22</f>
        <v>506618.9096754421</v>
      </c>
      <c r="F27" s="13">
        <f t="shared" si="2"/>
        <v>297585.21565979527</v>
      </c>
      <c r="G27" s="15">
        <f t="shared" si="3"/>
        <v>149890.25469915435</v>
      </c>
      <c r="H27" s="76">
        <f>'ATT 6 - Operating Benefits'!G22</f>
        <v>0</v>
      </c>
      <c r="I27" s="13">
        <f t="shared" si="4"/>
        <v>0</v>
      </c>
      <c r="J27" s="15">
        <f t="shared" si="5"/>
        <v>0</v>
      </c>
      <c r="K27" s="90">
        <f>'ATT 7 - Safety Benefits'!G22</f>
        <v>805801.7508968926</v>
      </c>
      <c r="L27" s="13">
        <f t="shared" si="6"/>
        <v>473323.60328459385</v>
      </c>
      <c r="M27" s="15">
        <f t="shared" si="7"/>
        <v>238407.6617991556</v>
      </c>
    </row>
    <row r="28" spans="1:13" ht="15">
      <c r="A28" s="14">
        <v>2033</v>
      </c>
      <c r="B28" s="76">
        <f>'ATT 4 - Const and Maint'!H23</f>
        <v>0</v>
      </c>
      <c r="C28" s="13">
        <f t="shared" si="0"/>
        <v>0</v>
      </c>
      <c r="D28" s="15">
        <f t="shared" si="1"/>
        <v>0</v>
      </c>
      <c r="E28" s="90">
        <f>'ATT 5 - Travel Time Benefits'!G23</f>
        <v>513566.61155015434</v>
      </c>
      <c r="F28" s="13">
        <f t="shared" si="2"/>
        <v>292879.8624042008</v>
      </c>
      <c r="G28" s="15">
        <f t="shared" si="3"/>
        <v>142005.4476497585</v>
      </c>
      <c r="H28" s="76">
        <f>'ATT 6 - Operating Benefits'!G23</f>
        <v>0</v>
      </c>
      <c r="I28" s="13">
        <f t="shared" si="4"/>
        <v>0</v>
      </c>
      <c r="J28" s="15">
        <f t="shared" si="5"/>
        <v>0</v>
      </c>
      <c r="K28" s="90">
        <f>'ATT 7 - Safety Benefits'!G23</f>
        <v>816852.4050048185</v>
      </c>
      <c r="L28" s="13">
        <f t="shared" si="6"/>
        <v>465839.5125419633</v>
      </c>
      <c r="M28" s="15">
        <f t="shared" si="7"/>
        <v>225866.49682377747</v>
      </c>
    </row>
    <row r="29" spans="1:13" ht="15">
      <c r="A29" s="14">
        <v>2034</v>
      </c>
      <c r="B29" s="76">
        <f>'ATT 4 - Const and Maint'!H24</f>
        <v>0</v>
      </c>
      <c r="C29" s="13">
        <f t="shared" si="0"/>
        <v>0</v>
      </c>
      <c r="D29" s="15">
        <f t="shared" si="1"/>
        <v>0</v>
      </c>
      <c r="E29" s="90">
        <f>'ATT 5 - Travel Time Benefits'!G24</f>
        <v>520514.3134248768</v>
      </c>
      <c r="F29" s="13">
        <f t="shared" si="2"/>
        <v>288196.155050301</v>
      </c>
      <c r="G29" s="15">
        <f t="shared" si="3"/>
        <v>134510.78982560217</v>
      </c>
      <c r="H29" s="76">
        <f>'ATT 6 - Operating Benefits'!G24</f>
        <v>0</v>
      </c>
      <c r="I29" s="13">
        <f t="shared" si="4"/>
        <v>0</v>
      </c>
      <c r="J29" s="15">
        <f t="shared" si="5"/>
        <v>0</v>
      </c>
      <c r="K29" s="90">
        <f>'ATT 7 - Safety Benefits'!G24</f>
        <v>827903.059112745</v>
      </c>
      <c r="L29" s="13">
        <f t="shared" si="6"/>
        <v>458389.85064742295</v>
      </c>
      <c r="M29" s="15">
        <f t="shared" si="7"/>
        <v>213945.88296246695</v>
      </c>
    </row>
    <row r="30" spans="1:13" ht="15">
      <c r="A30" s="14">
        <v>2035</v>
      </c>
      <c r="B30" s="76">
        <f>'ATT 4 - Const and Maint'!H25</f>
        <v>0</v>
      </c>
      <c r="C30" s="13">
        <f t="shared" si="0"/>
        <v>0</v>
      </c>
      <c r="D30" s="15">
        <f t="shared" si="1"/>
        <v>0</v>
      </c>
      <c r="E30" s="90">
        <f>'ATT 5 - Travel Time Benefits'!G25</f>
        <v>527462.0152995992</v>
      </c>
      <c r="F30" s="13">
        <f t="shared" si="2"/>
        <v>283536.8243938347</v>
      </c>
      <c r="G30" s="15">
        <f t="shared" si="3"/>
        <v>127388.97945412707</v>
      </c>
      <c r="H30" s="76">
        <f>'ATT 6 - Operating Benefits'!G25</f>
        <v>0</v>
      </c>
      <c r="I30" s="13">
        <f t="shared" si="4"/>
        <v>0</v>
      </c>
      <c r="J30" s="15">
        <f t="shared" si="5"/>
        <v>0</v>
      </c>
      <c r="K30" s="90">
        <f>'ATT 7 - Safety Benefits'!G25</f>
        <v>838953.7132206712</v>
      </c>
      <c r="L30" s="13">
        <f t="shared" si="6"/>
        <v>450978.9610629916</v>
      </c>
      <c r="M30" s="15">
        <f t="shared" si="7"/>
        <v>202618.30091353104</v>
      </c>
    </row>
    <row r="31" spans="1:13" ht="15">
      <c r="A31" s="14">
        <v>2036</v>
      </c>
      <c r="B31" s="76">
        <f>'ATT 4 - Const and Maint'!H26</f>
        <v>0</v>
      </c>
      <c r="C31" s="13">
        <f t="shared" si="0"/>
        <v>0</v>
      </c>
      <c r="D31" s="15">
        <f t="shared" si="1"/>
        <v>0</v>
      </c>
      <c r="E31" s="90">
        <f>'ATT 5 - Travel Time Benefits'!G26</f>
        <v>534409.7171743114</v>
      </c>
      <c r="F31" s="13">
        <f t="shared" si="2"/>
        <v>278904.4237920566</v>
      </c>
      <c r="G31" s="15">
        <f t="shared" si="3"/>
        <v>120623.30876602948</v>
      </c>
      <c r="H31" s="76">
        <f>'ATT 6 - Operating Benefits'!G26</f>
        <v>0</v>
      </c>
      <c r="I31" s="13">
        <f t="shared" si="4"/>
        <v>0</v>
      </c>
      <c r="J31" s="15">
        <f t="shared" si="5"/>
        <v>0</v>
      </c>
      <c r="K31" s="90">
        <f>'ATT 7 - Safety Benefits'!G26</f>
        <v>850004.3673285976</v>
      </c>
      <c r="L31" s="13">
        <f t="shared" si="6"/>
        <v>443610.9050262417</v>
      </c>
      <c r="M31" s="15">
        <f t="shared" si="7"/>
        <v>191857.17616603157</v>
      </c>
    </row>
    <row r="32" spans="1:13" ht="15">
      <c r="A32" s="14">
        <v>2037</v>
      </c>
      <c r="B32" s="76">
        <f>'ATT 4 - Const and Maint'!H27</f>
        <v>0</v>
      </c>
      <c r="C32" s="13">
        <f t="shared" si="0"/>
        <v>0</v>
      </c>
      <c r="D32" s="15">
        <f t="shared" si="1"/>
        <v>0</v>
      </c>
      <c r="E32" s="90">
        <f>'ATT 5 - Travel Time Benefits'!G27</f>
        <v>541357.4190490338</v>
      </c>
      <c r="F32" s="13">
        <f t="shared" si="2"/>
        <v>274301.3371833418</v>
      </c>
      <c r="G32" s="15">
        <f t="shared" si="3"/>
        <v>114197.66032420164</v>
      </c>
      <c r="H32" s="76">
        <f>'ATT 6 - Operating Benefits'!G27</f>
        <v>0</v>
      </c>
      <c r="I32" s="13">
        <f t="shared" si="4"/>
        <v>0</v>
      </c>
      <c r="J32" s="15">
        <f t="shared" si="5"/>
        <v>0</v>
      </c>
      <c r="K32" s="90">
        <f>'ATT 7 - Safety Benefits'!G27</f>
        <v>861055.0214365234</v>
      </c>
      <c r="L32" s="13">
        <f t="shared" si="6"/>
        <v>436289.47430584027</v>
      </c>
      <c r="M32" s="15">
        <f t="shared" si="7"/>
        <v>181636.87316077942</v>
      </c>
    </row>
    <row r="33" spans="1:13" ht="15.75" thickBot="1">
      <c r="A33" s="17">
        <v>2038</v>
      </c>
      <c r="B33" s="77">
        <f>'ATT 4 - Const and Maint'!H28</f>
        <v>0</v>
      </c>
      <c r="C33" s="87">
        <f t="shared" si="0"/>
        <v>0</v>
      </c>
      <c r="D33" s="88">
        <f t="shared" si="1"/>
        <v>0</v>
      </c>
      <c r="E33" s="91">
        <f>'ATT 5 - Travel Time Benefits'!G28</f>
        <v>548305.1209237562</v>
      </c>
      <c r="F33" s="87">
        <f t="shared" si="2"/>
        <v>269729.7867901099</v>
      </c>
      <c r="G33" s="88">
        <f t="shared" si="3"/>
        <v>108096.50129073458</v>
      </c>
      <c r="H33" s="77">
        <f>'ATT 6 - Operating Benefits'!G28</f>
        <v>0</v>
      </c>
      <c r="I33" s="87">
        <f t="shared" si="4"/>
        <v>0</v>
      </c>
      <c r="J33" s="88">
        <f t="shared" si="5"/>
        <v>0</v>
      </c>
      <c r="K33" s="91">
        <f>'ATT 7 - Safety Benefits'!G28</f>
        <v>872105.6755444503</v>
      </c>
      <c r="L33" s="87">
        <f t="shared" si="6"/>
        <v>429018.2034534734</v>
      </c>
      <c r="M33" s="88">
        <f t="shared" si="7"/>
        <v>171932.68617175004</v>
      </c>
    </row>
    <row r="34" spans="1:13" ht="15.75" thickBot="1">
      <c r="A34" s="93" t="s">
        <v>6</v>
      </c>
      <c r="B34" s="189">
        <f>SUM(B9:B33)</f>
        <v>17500000</v>
      </c>
      <c r="C34" s="94">
        <f>SUM(C9:C33)</f>
        <v>16134985.162843818</v>
      </c>
      <c r="D34" s="95">
        <f aca="true" t="shared" si="8" ref="D34:M34">SUM(D9:D33)</f>
        <v>14547482.144075189</v>
      </c>
      <c r="E34" s="96">
        <f t="shared" si="8"/>
        <v>9646039.062278476</v>
      </c>
      <c r="F34" s="94">
        <f t="shared" si="8"/>
        <v>6285542.97607346</v>
      </c>
      <c r="G34" s="98">
        <f t="shared" si="8"/>
        <v>3775404.4600000465</v>
      </c>
      <c r="H34" s="99">
        <f t="shared" si="8"/>
        <v>0</v>
      </c>
      <c r="I34" s="94">
        <f t="shared" si="8"/>
        <v>0</v>
      </c>
      <c r="J34" s="95">
        <f t="shared" si="8"/>
        <v>0</v>
      </c>
      <c r="K34" s="96">
        <f t="shared" si="8"/>
        <v>15342489.230383009</v>
      </c>
      <c r="L34" s="94">
        <f t="shared" si="8"/>
        <v>9997458.521045806</v>
      </c>
      <c r="M34" s="95">
        <f t="shared" si="8"/>
        <v>6004962.440428742</v>
      </c>
    </row>
    <row r="35" spans="1:13" ht="15">
      <c r="A35" s="79"/>
      <c r="B35" s="81"/>
      <c r="C35" s="81"/>
      <c r="D35" s="80"/>
      <c r="E35" s="81"/>
      <c r="F35" s="81"/>
      <c r="G35" s="81"/>
      <c r="H35" s="81"/>
      <c r="I35" s="81"/>
      <c r="J35" s="80"/>
      <c r="K35" s="81"/>
      <c r="L35" s="82"/>
      <c r="M35" s="83"/>
    </row>
    <row r="36" spans="1:13" ht="15">
      <c r="A36" s="14"/>
      <c r="B36" s="12"/>
      <c r="C36" s="12"/>
      <c r="D36" s="11"/>
      <c r="E36" s="12"/>
      <c r="F36" s="12"/>
      <c r="G36" s="12"/>
      <c r="H36" s="191" t="s">
        <v>115</v>
      </c>
      <c r="I36" s="191" t="s">
        <v>116</v>
      </c>
      <c r="J36" s="192" t="s">
        <v>117</v>
      </c>
      <c r="K36" s="12"/>
      <c r="L36" s="74"/>
      <c r="M36" s="16"/>
    </row>
    <row r="37" spans="1:13" ht="15">
      <c r="A37" s="14"/>
      <c r="B37" s="12"/>
      <c r="C37" s="12"/>
      <c r="D37" s="186"/>
      <c r="E37" s="186"/>
      <c r="F37" s="186"/>
      <c r="G37" s="191" t="s">
        <v>106</v>
      </c>
      <c r="H37" s="12">
        <f>B34</f>
        <v>17500000</v>
      </c>
      <c r="I37" s="12">
        <f>C34</f>
        <v>16134985.162843818</v>
      </c>
      <c r="J37" s="12">
        <f>D34</f>
        <v>14547482.144075189</v>
      </c>
      <c r="K37" s="12"/>
      <c r="L37" s="74"/>
      <c r="M37" s="16"/>
    </row>
    <row r="38" spans="1:13" ht="15">
      <c r="A38" s="14"/>
      <c r="B38" s="12"/>
      <c r="C38" s="12"/>
      <c r="D38" s="186"/>
      <c r="E38" s="186"/>
      <c r="F38" s="186"/>
      <c r="G38" s="191" t="s">
        <v>118</v>
      </c>
      <c r="H38" s="12">
        <f>E34+H34+K34</f>
        <v>24988528.292661484</v>
      </c>
      <c r="I38" s="12">
        <f>F34+I34+L34</f>
        <v>16283001.497119267</v>
      </c>
      <c r="J38" s="12">
        <f>G34+J34+M34</f>
        <v>9780366.900428789</v>
      </c>
      <c r="K38" s="12"/>
      <c r="L38" s="74"/>
      <c r="M38" s="16"/>
    </row>
    <row r="39" spans="1:13" ht="15.75" thickBot="1">
      <c r="A39" s="17"/>
      <c r="B39" s="18"/>
      <c r="C39" s="18"/>
      <c r="D39" s="187"/>
      <c r="E39" s="188"/>
      <c r="F39" s="188"/>
      <c r="G39" s="193" t="s">
        <v>119</v>
      </c>
      <c r="H39" s="190">
        <f>H38/H37</f>
        <v>1.4279159024377992</v>
      </c>
      <c r="I39" s="206">
        <f>I38/I37</f>
        <v>1.00917362692197</v>
      </c>
      <c r="J39" s="190">
        <f>J38/J37</f>
        <v>0.6723065066219778</v>
      </c>
      <c r="K39" s="18"/>
      <c r="L39" s="75"/>
      <c r="M39" s="19"/>
    </row>
  </sheetData>
  <sheetProtection/>
  <mergeCells count="5">
    <mergeCell ref="K7:M7"/>
    <mergeCell ref="B7:D7"/>
    <mergeCell ref="E7:G7"/>
    <mergeCell ref="H7:J7"/>
    <mergeCell ref="C3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4">
      <selection activeCell="J47" sqref="J47"/>
    </sheetView>
  </sheetViews>
  <sheetFormatPr defaultColWidth="9.140625" defaultRowHeight="15"/>
  <cols>
    <col min="1" max="1" width="14.28125" style="0" customWidth="1"/>
    <col min="2" max="3" width="10.7109375" style="0" customWidth="1"/>
    <col min="4" max="4" width="15.28125" style="0" bestFit="1" customWidth="1"/>
    <col min="5" max="6" width="10.140625" style="0" bestFit="1" customWidth="1"/>
  </cols>
  <sheetData>
    <row r="1" spans="1:6" ht="18.75" thickBot="1">
      <c r="A1" s="241" t="s">
        <v>49</v>
      </c>
      <c r="B1" s="242"/>
      <c r="C1" s="242"/>
      <c r="D1" s="242"/>
      <c r="E1" s="242"/>
      <c r="F1" s="243"/>
    </row>
    <row r="2" spans="1:6" ht="15.75" thickBot="1">
      <c r="A2" s="244" t="s">
        <v>50</v>
      </c>
      <c r="B2" s="245"/>
      <c r="C2" s="245"/>
      <c r="D2" s="245"/>
      <c r="E2" s="245"/>
      <c r="F2" s="246"/>
    </row>
    <row r="3" spans="1:6" ht="15">
      <c r="A3" s="247" t="s">
        <v>51</v>
      </c>
      <c r="B3" s="248"/>
      <c r="C3" s="249"/>
      <c r="D3" s="247" t="s">
        <v>14</v>
      </c>
      <c r="E3" s="248"/>
      <c r="F3" s="249"/>
    </row>
    <row r="4" spans="1:6" ht="15">
      <c r="A4" s="128" t="s">
        <v>74</v>
      </c>
      <c r="B4" s="142">
        <v>12.98</v>
      </c>
      <c r="C4" s="136" t="s">
        <v>52</v>
      </c>
      <c r="D4" s="128" t="s">
        <v>74</v>
      </c>
      <c r="E4" s="142">
        <v>25.75</v>
      </c>
      <c r="F4" s="129" t="s">
        <v>52</v>
      </c>
    </row>
    <row r="5" spans="1:6" ht="15">
      <c r="A5" s="128" t="s">
        <v>53</v>
      </c>
      <c r="B5" s="119">
        <v>1.1</v>
      </c>
      <c r="C5" s="130"/>
      <c r="D5" s="128" t="s">
        <v>53</v>
      </c>
      <c r="E5" s="119">
        <v>1.05</v>
      </c>
      <c r="F5" s="130"/>
    </row>
    <row r="6" spans="1:6" ht="15">
      <c r="A6" s="131"/>
      <c r="B6" s="121"/>
      <c r="C6" s="130"/>
      <c r="D6" s="128" t="s">
        <v>87</v>
      </c>
      <c r="E6" s="139">
        <f>0.03/8760*300000</f>
        <v>1.0273972602739725</v>
      </c>
      <c r="F6" s="130"/>
    </row>
    <row r="7" spans="1:6" ht="15.75" thickBot="1">
      <c r="A7" s="133" t="s">
        <v>71</v>
      </c>
      <c r="B7" s="137">
        <f>B4*B5</f>
        <v>14.278000000000002</v>
      </c>
      <c r="C7" s="138" t="s">
        <v>84</v>
      </c>
      <c r="D7" s="133" t="s">
        <v>71</v>
      </c>
      <c r="E7" s="140">
        <f>E4*E5+E6</f>
        <v>28.064897260273973</v>
      </c>
      <c r="F7" s="138" t="s">
        <v>84</v>
      </c>
    </row>
    <row r="8" spans="1:6" ht="15.75" thickBot="1">
      <c r="A8" s="244" t="s">
        <v>35</v>
      </c>
      <c r="B8" s="245"/>
      <c r="C8" s="245"/>
      <c r="D8" s="245"/>
      <c r="E8" s="245"/>
      <c r="F8" s="246"/>
    </row>
    <row r="9" spans="1:6" ht="15">
      <c r="A9" s="247" t="s">
        <v>51</v>
      </c>
      <c r="B9" s="248"/>
      <c r="C9" s="249"/>
      <c r="D9" s="247" t="s">
        <v>14</v>
      </c>
      <c r="E9" s="248"/>
      <c r="F9" s="249"/>
    </row>
    <row r="10" spans="1:6" ht="15">
      <c r="A10" s="132" t="s">
        <v>54</v>
      </c>
      <c r="B10" s="119">
        <v>25</v>
      </c>
      <c r="C10" s="129" t="s">
        <v>55</v>
      </c>
      <c r="D10" s="132" t="s">
        <v>54</v>
      </c>
      <c r="E10" s="119">
        <v>6</v>
      </c>
      <c r="F10" s="129" t="s">
        <v>55</v>
      </c>
    </row>
    <row r="11" spans="1:6" ht="15">
      <c r="A11" s="128" t="s">
        <v>64</v>
      </c>
      <c r="B11" s="120">
        <v>3</v>
      </c>
      <c r="C11" s="129" t="s">
        <v>56</v>
      </c>
      <c r="D11" s="128" t="s">
        <v>64</v>
      </c>
      <c r="E11" s="120">
        <v>3</v>
      </c>
      <c r="F11" s="129" t="s">
        <v>56</v>
      </c>
    </row>
    <row r="12" spans="1:6" ht="15">
      <c r="A12" s="128" t="s">
        <v>90</v>
      </c>
      <c r="B12" s="143">
        <v>0.061</v>
      </c>
      <c r="C12" s="129" t="s">
        <v>57</v>
      </c>
      <c r="D12" s="128" t="s">
        <v>67</v>
      </c>
      <c r="E12" s="143">
        <v>0.15</v>
      </c>
      <c r="F12" s="129" t="s">
        <v>57</v>
      </c>
    </row>
    <row r="13" spans="1:6" ht="15">
      <c r="A13" s="128" t="s">
        <v>58</v>
      </c>
      <c r="B13" s="119">
        <v>10</v>
      </c>
      <c r="C13" s="129" t="s">
        <v>60</v>
      </c>
      <c r="D13" s="128" t="s">
        <v>58</v>
      </c>
      <c r="E13" s="144">
        <v>5</v>
      </c>
      <c r="F13" s="129" t="s">
        <v>60</v>
      </c>
    </row>
    <row r="14" spans="1:6" ht="15">
      <c r="A14" s="128" t="s">
        <v>20</v>
      </c>
      <c r="B14" s="122">
        <v>20000</v>
      </c>
      <c r="C14" s="130"/>
      <c r="D14" s="128" t="s">
        <v>96</v>
      </c>
      <c r="E14" s="141">
        <v>150000</v>
      </c>
      <c r="F14" s="130"/>
    </row>
    <row r="15" spans="1:6" ht="15">
      <c r="A15" s="128" t="s">
        <v>59</v>
      </c>
      <c r="B15" s="122">
        <v>2000</v>
      </c>
      <c r="C15" s="130"/>
      <c r="D15" s="128" t="s">
        <v>59</v>
      </c>
      <c r="E15" s="141">
        <v>15000</v>
      </c>
      <c r="F15" s="130"/>
    </row>
    <row r="16" spans="1:6" ht="15">
      <c r="A16" s="128" t="s">
        <v>19</v>
      </c>
      <c r="B16" s="123">
        <v>15000</v>
      </c>
      <c r="C16" s="129" t="s">
        <v>62</v>
      </c>
      <c r="D16" s="128" t="s">
        <v>97</v>
      </c>
      <c r="E16" s="145">
        <v>125000</v>
      </c>
      <c r="F16" s="129" t="s">
        <v>62</v>
      </c>
    </row>
    <row r="17" spans="1:6" ht="15">
      <c r="A17" s="128" t="s">
        <v>70</v>
      </c>
      <c r="B17" s="124">
        <v>0.03</v>
      </c>
      <c r="C17" s="130"/>
      <c r="D17" s="128" t="s">
        <v>70</v>
      </c>
      <c r="E17" s="146">
        <v>0.03</v>
      </c>
      <c r="F17" s="130"/>
    </row>
    <row r="18" spans="1:6" ht="15">
      <c r="A18" s="128" t="s">
        <v>91</v>
      </c>
      <c r="B18" s="125">
        <f>B14*(B17*((1+B17)^B13-B15/B14))/((1+B17)^B13-1)</f>
        <v>2170.149118892873</v>
      </c>
      <c r="C18" s="129" t="s">
        <v>63</v>
      </c>
      <c r="D18" s="128" t="s">
        <v>98</v>
      </c>
      <c r="E18" s="147">
        <f>E14*(E17*((1+E17)^E13-E15/E14))/((1+E17)^E13-1)</f>
        <v>29927.86713907779</v>
      </c>
      <c r="F18" s="129" t="s">
        <v>63</v>
      </c>
    </row>
    <row r="19" spans="1:6" ht="15">
      <c r="A19" s="128" t="s">
        <v>92</v>
      </c>
      <c r="B19" s="141">
        <v>1092</v>
      </c>
      <c r="C19" s="129" t="s">
        <v>63</v>
      </c>
      <c r="D19" s="128" t="s">
        <v>99</v>
      </c>
      <c r="E19" s="141">
        <v>6500</v>
      </c>
      <c r="F19" s="129" t="s">
        <v>63</v>
      </c>
    </row>
    <row r="20" spans="1:6" ht="15">
      <c r="A20" s="128" t="s">
        <v>65</v>
      </c>
      <c r="B20" s="126">
        <f>B11/B10</f>
        <v>0.12</v>
      </c>
      <c r="C20" s="129" t="s">
        <v>66</v>
      </c>
      <c r="D20" s="128" t="s">
        <v>65</v>
      </c>
      <c r="E20" s="126">
        <f>E11/E10</f>
        <v>0.5</v>
      </c>
      <c r="F20" s="129" t="s">
        <v>66</v>
      </c>
    </row>
    <row r="21" spans="1:6" ht="15">
      <c r="A21" s="128" t="s">
        <v>68</v>
      </c>
      <c r="B21" s="127">
        <f>B12</f>
        <v>0.061</v>
      </c>
      <c r="C21" s="129" t="s">
        <v>66</v>
      </c>
      <c r="D21" s="128" t="s">
        <v>68</v>
      </c>
      <c r="E21" s="127">
        <f>E12</f>
        <v>0.15</v>
      </c>
      <c r="F21" s="129" t="s">
        <v>66</v>
      </c>
    </row>
    <row r="22" spans="1:6" ht="15">
      <c r="A22" s="128" t="s">
        <v>69</v>
      </c>
      <c r="B22" s="127">
        <f>B18/B16</f>
        <v>0.14467660792619152</v>
      </c>
      <c r="C22" s="129" t="s">
        <v>66</v>
      </c>
      <c r="D22" s="128" t="s">
        <v>69</v>
      </c>
      <c r="E22" s="127">
        <f>E18/E16</f>
        <v>0.2394229371126223</v>
      </c>
      <c r="F22" s="129" t="s">
        <v>66</v>
      </c>
    </row>
    <row r="23" spans="1:6" ht="15">
      <c r="A23" s="128" t="s">
        <v>61</v>
      </c>
      <c r="B23" s="126">
        <f>B19/B16</f>
        <v>0.0728</v>
      </c>
      <c r="C23" s="129" t="s">
        <v>66</v>
      </c>
      <c r="D23" s="128" t="s">
        <v>61</v>
      </c>
      <c r="E23" s="126">
        <f>E19/E16</f>
        <v>0.052</v>
      </c>
      <c r="F23" s="129" t="s">
        <v>66</v>
      </c>
    </row>
    <row r="24" spans="1:6" ht="15.75" thickBot="1">
      <c r="A24" s="133" t="s">
        <v>71</v>
      </c>
      <c r="B24" s="134">
        <f>SUM(B20:B23)</f>
        <v>0.39847660792619155</v>
      </c>
      <c r="C24" s="135" t="s">
        <v>66</v>
      </c>
      <c r="D24" s="133" t="s">
        <v>71</v>
      </c>
      <c r="E24" s="134">
        <f>SUM(E20:E23)</f>
        <v>0.9414229371126224</v>
      </c>
      <c r="F24" s="135" t="s">
        <v>66</v>
      </c>
    </row>
    <row r="25" spans="1:6" ht="15.75" thickBot="1">
      <c r="A25" s="253" t="s">
        <v>37</v>
      </c>
      <c r="B25" s="254"/>
      <c r="C25" s="254"/>
      <c r="D25" s="254"/>
      <c r="E25" s="254"/>
      <c r="F25" s="255"/>
    </row>
    <row r="26" spans="1:6" ht="15.75" thickBot="1">
      <c r="A26" s="259" t="s">
        <v>72</v>
      </c>
      <c r="B26" s="260"/>
      <c r="C26" s="260"/>
      <c r="D26" s="261"/>
      <c r="E26" s="257" t="s">
        <v>103</v>
      </c>
      <c r="F26" s="258"/>
    </row>
    <row r="27" spans="1:6" ht="15">
      <c r="A27" s="152"/>
      <c r="B27" s="256" t="s">
        <v>104</v>
      </c>
      <c r="C27" s="256"/>
      <c r="D27" s="251" t="s">
        <v>102</v>
      </c>
      <c r="E27" s="160" t="s">
        <v>75</v>
      </c>
      <c r="F27" s="161">
        <v>0</v>
      </c>
    </row>
    <row r="28" spans="1:6" ht="15">
      <c r="A28" s="149"/>
      <c r="B28" s="210" t="s">
        <v>11</v>
      </c>
      <c r="C28" s="210" t="s">
        <v>10</v>
      </c>
      <c r="D28" s="252"/>
      <c r="E28" s="156" t="s">
        <v>76</v>
      </c>
      <c r="F28" s="157">
        <v>27600</v>
      </c>
    </row>
    <row r="29" spans="1:6" ht="15">
      <c r="A29" s="149" t="s">
        <v>82</v>
      </c>
      <c r="B29" s="211">
        <v>0.0083</v>
      </c>
      <c r="C29" s="211">
        <v>0.0139</v>
      </c>
      <c r="D29" s="148">
        <f>F33</f>
        <v>9200000</v>
      </c>
      <c r="E29" s="156" t="s">
        <v>77</v>
      </c>
      <c r="F29" s="157">
        <v>432400</v>
      </c>
    </row>
    <row r="30" spans="1:6" ht="15">
      <c r="A30" s="149" t="s">
        <v>83</v>
      </c>
      <c r="B30" s="211">
        <v>2.24</v>
      </c>
      <c r="C30" s="211">
        <v>2.79</v>
      </c>
      <c r="D30" s="148">
        <f>0.43676*F27+0.41739*F28+0.08872*F29+0.04817*F30+0.00617*F31+0.00279*F32</f>
        <v>126735.06</v>
      </c>
      <c r="E30" s="156" t="s">
        <v>78</v>
      </c>
      <c r="F30" s="157">
        <v>966000</v>
      </c>
    </row>
    <row r="31" spans="1:6" ht="15">
      <c r="A31" s="57"/>
      <c r="B31" s="250" t="s">
        <v>100</v>
      </c>
      <c r="C31" s="250"/>
      <c r="D31" s="154"/>
      <c r="E31" s="156" t="s">
        <v>79</v>
      </c>
      <c r="F31" s="157">
        <v>2447200</v>
      </c>
    </row>
    <row r="32" spans="1:6" ht="15">
      <c r="A32" s="149" t="s">
        <v>82</v>
      </c>
      <c r="B32" s="127">
        <f>B29*D29/1000000</f>
        <v>0.07636</v>
      </c>
      <c r="C32" s="127">
        <f>C29*D29/1000000</f>
        <v>0.12788</v>
      </c>
      <c r="D32" s="130"/>
      <c r="E32" s="156" t="s">
        <v>80</v>
      </c>
      <c r="F32" s="157">
        <v>5455600</v>
      </c>
    </row>
    <row r="33" spans="1:6" ht="15">
      <c r="A33" s="149" t="s">
        <v>83</v>
      </c>
      <c r="B33" s="127">
        <f>B30*D30/1000000</f>
        <v>0.2838865344</v>
      </c>
      <c r="C33" s="127">
        <f>C30*D30/1000000</f>
        <v>0.3535908174</v>
      </c>
      <c r="D33" s="130"/>
      <c r="E33" s="156" t="s">
        <v>81</v>
      </c>
      <c r="F33" s="157">
        <f>9200000*1</f>
        <v>9200000</v>
      </c>
    </row>
    <row r="34" spans="1:6" ht="15.75" thickBot="1">
      <c r="A34" s="153" t="s">
        <v>71</v>
      </c>
      <c r="B34" s="151">
        <f>B32+B33</f>
        <v>0.3602465344</v>
      </c>
      <c r="C34" s="151">
        <f>C32+C33</f>
        <v>0.4814708174</v>
      </c>
      <c r="D34" s="155"/>
      <c r="E34" s="158"/>
      <c r="F34" s="159"/>
    </row>
    <row r="35" spans="1:6" ht="15">
      <c r="A35" s="240" t="s">
        <v>73</v>
      </c>
      <c r="B35" s="240"/>
      <c r="C35" s="240"/>
      <c r="D35" s="240"/>
      <c r="E35" s="240"/>
      <c r="F35" s="240"/>
    </row>
    <row r="36" spans="1:6" ht="15">
      <c r="A36" s="238" t="s">
        <v>88</v>
      </c>
      <c r="B36" s="238"/>
      <c r="C36" s="238"/>
      <c r="D36" s="238"/>
      <c r="E36" s="238"/>
      <c r="F36" s="238"/>
    </row>
    <row r="37" spans="1:6" ht="15">
      <c r="A37" s="238" t="s">
        <v>89</v>
      </c>
      <c r="B37" s="238"/>
      <c r="C37" s="238"/>
      <c r="D37" s="238"/>
      <c r="E37" s="238"/>
      <c r="F37" s="238"/>
    </row>
    <row r="38" spans="1:6" ht="15">
      <c r="A38" s="238" t="s">
        <v>93</v>
      </c>
      <c r="B38" s="238"/>
      <c r="C38" s="238"/>
      <c r="D38" s="238"/>
      <c r="E38" s="238"/>
      <c r="F38" s="238"/>
    </row>
    <row r="39" spans="1:6" ht="15">
      <c r="A39" s="238" t="s">
        <v>94</v>
      </c>
      <c r="B39" s="238"/>
      <c r="C39" s="238"/>
      <c r="D39" s="238"/>
      <c r="E39" s="238"/>
      <c r="F39" s="238"/>
    </row>
    <row r="40" spans="1:6" ht="15">
      <c r="A40" s="238" t="s">
        <v>95</v>
      </c>
      <c r="B40" s="238"/>
      <c r="C40" s="238"/>
      <c r="D40" s="238"/>
      <c r="E40" s="238"/>
      <c r="F40" s="238"/>
    </row>
    <row r="41" spans="1:6" ht="15">
      <c r="A41" s="239" t="s">
        <v>101</v>
      </c>
      <c r="B41" s="239"/>
      <c r="C41" s="239"/>
      <c r="D41" s="239"/>
      <c r="E41" s="239"/>
      <c r="F41" s="239"/>
    </row>
    <row r="42" spans="1:6" ht="15">
      <c r="A42" s="118"/>
      <c r="B42" s="118"/>
      <c r="C42" s="118"/>
      <c r="D42" s="118"/>
      <c r="E42" s="118"/>
      <c r="F42" s="118"/>
    </row>
  </sheetData>
  <sheetProtection/>
  <mergeCells count="20">
    <mergeCell ref="A9:C9"/>
    <mergeCell ref="D9:F9"/>
    <mergeCell ref="B31:C31"/>
    <mergeCell ref="D27:D28"/>
    <mergeCell ref="A25:F25"/>
    <mergeCell ref="B27:C27"/>
    <mergeCell ref="E26:F26"/>
    <mergeCell ref="A26:D26"/>
    <mergeCell ref="A1:F1"/>
    <mergeCell ref="A2:F2"/>
    <mergeCell ref="A3:C3"/>
    <mergeCell ref="D3:F3"/>
    <mergeCell ref="A8:F8"/>
    <mergeCell ref="A40:F40"/>
    <mergeCell ref="A41:F41"/>
    <mergeCell ref="A35:F35"/>
    <mergeCell ref="A36:F36"/>
    <mergeCell ref="A37:F37"/>
    <mergeCell ref="A38:F38"/>
    <mergeCell ref="A39:F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8" sqref="E18"/>
    </sheetView>
  </sheetViews>
  <sheetFormatPr defaultColWidth="9.140625" defaultRowHeight="15"/>
  <cols>
    <col min="4" max="4" width="10.140625" style="0" bestFit="1" customWidth="1"/>
    <col min="5" max="5" width="12.7109375" style="0" bestFit="1" customWidth="1"/>
    <col min="6" max="6" width="13.7109375" style="0" bestFit="1" customWidth="1"/>
    <col min="7" max="7" width="7.140625" style="0" customWidth="1"/>
    <col min="8" max="8" width="8.00390625" style="0" customWidth="1"/>
    <col min="9" max="9" width="13.7109375" style="0" bestFit="1" customWidth="1"/>
    <col min="10" max="10" width="15.7109375" style="0" bestFit="1" customWidth="1"/>
  </cols>
  <sheetData>
    <row r="1" spans="1:8" ht="18.75" thickBot="1">
      <c r="A1" s="241" t="s">
        <v>139</v>
      </c>
      <c r="B1" s="242"/>
      <c r="C1" s="242"/>
      <c r="D1" s="242"/>
      <c r="E1" s="242"/>
      <c r="F1" s="242"/>
      <c r="G1" s="242"/>
      <c r="H1" s="243"/>
    </row>
    <row r="2" spans="1:8" ht="15.75" thickBot="1">
      <c r="A2" s="262"/>
      <c r="B2" s="262"/>
      <c r="C2" s="224" t="s">
        <v>13</v>
      </c>
      <c r="D2" s="224" t="s">
        <v>130</v>
      </c>
      <c r="E2" s="224" t="s">
        <v>137</v>
      </c>
      <c r="F2" s="224" t="s">
        <v>138</v>
      </c>
      <c r="G2" s="224" t="s">
        <v>131</v>
      </c>
      <c r="H2" s="224" t="s">
        <v>132</v>
      </c>
    </row>
    <row r="3" spans="1:10" ht="15.75" thickBot="1">
      <c r="A3" s="267">
        <v>2018</v>
      </c>
      <c r="B3" s="225" t="s">
        <v>133</v>
      </c>
      <c r="C3" s="263">
        <f>ROUND(10904,-2)</f>
        <v>10900</v>
      </c>
      <c r="D3" s="216">
        <v>40</v>
      </c>
      <c r="E3" s="216">
        <v>1.5</v>
      </c>
      <c r="F3" s="217">
        <f>E3/D3</f>
        <v>0.0375</v>
      </c>
      <c r="G3" s="218">
        <f>$C$3*F3</f>
        <v>408.75</v>
      </c>
      <c r="H3" s="226">
        <f>E3*$C$3</f>
        <v>16350</v>
      </c>
      <c r="J3" s="204"/>
    </row>
    <row r="4" spans="1:10" ht="15.75" thickBot="1">
      <c r="A4" s="267"/>
      <c r="B4" s="225" t="s">
        <v>11</v>
      </c>
      <c r="C4" s="264"/>
      <c r="D4" s="119">
        <v>50</v>
      </c>
      <c r="E4" s="119">
        <v>1.5</v>
      </c>
      <c r="F4" s="219">
        <f>E4/D4</f>
        <v>0.03</v>
      </c>
      <c r="G4" s="220">
        <f>$C$3*(F4*0.9+F3*0.1)</f>
        <v>335.175</v>
      </c>
      <c r="H4" s="227">
        <f>E4*$C$3</f>
        <v>16350</v>
      </c>
      <c r="J4" s="204"/>
    </row>
    <row r="5" spans="1:10" ht="15.75" thickBot="1">
      <c r="A5" s="267">
        <v>2038</v>
      </c>
      <c r="B5" s="225" t="s">
        <v>133</v>
      </c>
      <c r="C5" s="265">
        <f>ROUND(14551,-2)</f>
        <v>14600</v>
      </c>
      <c r="D5" s="119">
        <v>40</v>
      </c>
      <c r="E5" s="119">
        <v>1.5</v>
      </c>
      <c r="F5" s="219">
        <f>E5/D5</f>
        <v>0.0375</v>
      </c>
      <c r="G5" s="220">
        <f>$C$5*F5</f>
        <v>547.5</v>
      </c>
      <c r="H5" s="227">
        <f>E5*$C$5</f>
        <v>21900</v>
      </c>
      <c r="J5" s="204"/>
    </row>
    <row r="6" spans="1:10" ht="15.75" thickBot="1">
      <c r="A6" s="267"/>
      <c r="B6" s="225" t="s">
        <v>11</v>
      </c>
      <c r="C6" s="266"/>
      <c r="D6" s="221">
        <v>50</v>
      </c>
      <c r="E6" s="221">
        <v>1.5</v>
      </c>
      <c r="F6" s="222">
        <f>E6/D6</f>
        <v>0.03</v>
      </c>
      <c r="G6" s="223">
        <f>$C$5*(F6*0.9+F5*0.1)</f>
        <v>448.95</v>
      </c>
      <c r="H6" s="228">
        <f>E6*$C$5</f>
        <v>21900</v>
      </c>
      <c r="J6" s="204"/>
    </row>
    <row r="7" spans="1:10" ht="15">
      <c r="A7" s="41" t="s">
        <v>122</v>
      </c>
      <c r="B7" s="240" t="s">
        <v>126</v>
      </c>
      <c r="C7" s="240"/>
      <c r="D7" s="240"/>
      <c r="E7" s="240"/>
      <c r="F7" s="240"/>
      <c r="G7" s="240"/>
      <c r="H7" s="240"/>
      <c r="J7" s="204"/>
    </row>
    <row r="8" spans="1:10" ht="15">
      <c r="A8" s="41" t="s">
        <v>123</v>
      </c>
      <c r="B8" s="238" t="s">
        <v>127</v>
      </c>
      <c r="C8" s="238"/>
      <c r="D8" s="238"/>
      <c r="E8" s="238"/>
      <c r="F8" s="238"/>
      <c r="G8" s="238"/>
      <c r="H8" s="238"/>
      <c r="J8" s="204"/>
    </row>
    <row r="9" spans="1:10" ht="15">
      <c r="A9" s="41" t="s">
        <v>124</v>
      </c>
      <c r="B9" s="238" t="s">
        <v>128</v>
      </c>
      <c r="C9" s="238"/>
      <c r="D9" s="238"/>
      <c r="E9" s="238"/>
      <c r="F9" s="238"/>
      <c r="G9" s="238"/>
      <c r="H9" s="238"/>
      <c r="J9" s="204"/>
    </row>
    <row r="10" spans="1:12" ht="15">
      <c r="A10" s="41" t="s">
        <v>125</v>
      </c>
      <c r="B10" s="238" t="s">
        <v>129</v>
      </c>
      <c r="C10" s="238"/>
      <c r="D10" s="238"/>
      <c r="E10" s="238"/>
      <c r="F10" s="238"/>
      <c r="G10" s="238"/>
      <c r="H10" s="238"/>
      <c r="I10" s="207"/>
      <c r="J10" s="209"/>
      <c r="L10" s="204"/>
    </row>
    <row r="11" spans="1:11" ht="15">
      <c r="A11" s="204"/>
      <c r="B11" s="204"/>
      <c r="C11" s="205"/>
      <c r="D11" s="204"/>
      <c r="E11" s="204"/>
      <c r="F11" s="204"/>
      <c r="G11" s="204"/>
      <c r="H11" s="204"/>
      <c r="I11" s="204"/>
      <c r="J11" s="204"/>
      <c r="K11" s="208"/>
    </row>
    <row r="12" spans="1:11" ht="15">
      <c r="A12" s="204"/>
      <c r="B12" s="204"/>
      <c r="C12" s="205"/>
      <c r="D12" s="204"/>
      <c r="E12" s="204"/>
      <c r="F12" s="204"/>
      <c r="G12" s="204"/>
      <c r="H12" s="204"/>
      <c r="I12" s="204"/>
      <c r="J12" s="204"/>
      <c r="K12" s="204"/>
    </row>
    <row r="13" spans="1:11" ht="15">
      <c r="A13" s="204"/>
      <c r="B13" s="204"/>
      <c r="C13" s="205"/>
      <c r="D13" s="204"/>
      <c r="E13" s="204"/>
      <c r="F13" s="204"/>
      <c r="G13" s="204"/>
      <c r="H13" s="204"/>
      <c r="I13" s="204"/>
      <c r="J13" s="204"/>
      <c r="K13" s="204"/>
    </row>
    <row r="14" spans="1:11" ht="15">
      <c r="A14" s="204"/>
      <c r="C14" s="205"/>
      <c r="D14" s="204"/>
      <c r="E14" s="204"/>
      <c r="F14" s="204"/>
      <c r="G14" s="204"/>
      <c r="H14" s="204"/>
      <c r="I14" s="204"/>
      <c r="J14" s="204"/>
      <c r="K14" s="204"/>
    </row>
    <row r="15" spans="1:11" ht="15">
      <c r="A15" s="204"/>
      <c r="C15" s="205"/>
      <c r="D15" s="204"/>
      <c r="E15" s="204"/>
      <c r="F15" s="204"/>
      <c r="G15" s="204"/>
      <c r="H15" s="204"/>
      <c r="I15" s="204"/>
      <c r="J15" s="204"/>
      <c r="K15" s="204"/>
    </row>
  </sheetData>
  <sheetProtection/>
  <mergeCells count="10">
    <mergeCell ref="B7:H7"/>
    <mergeCell ref="B8:H8"/>
    <mergeCell ref="B9:H9"/>
    <mergeCell ref="B10:H10"/>
    <mergeCell ref="A2:B2"/>
    <mergeCell ref="C3:C4"/>
    <mergeCell ref="C5:C6"/>
    <mergeCell ref="A1:H1"/>
    <mergeCell ref="A3:A4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G36"/>
    </sheetView>
  </sheetViews>
  <sheetFormatPr defaultColWidth="9.140625" defaultRowHeight="15"/>
  <cols>
    <col min="4" max="4" width="10.421875" style="0" bestFit="1" customWidth="1"/>
    <col min="7" max="7" width="10.421875" style="0" bestFit="1" customWidth="1"/>
  </cols>
  <sheetData>
    <row r="1" spans="1:7" ht="18.75" thickBot="1">
      <c r="A1" s="241" t="s">
        <v>46</v>
      </c>
      <c r="B1" s="242"/>
      <c r="C1" s="242"/>
      <c r="D1" s="242"/>
      <c r="E1" s="242"/>
      <c r="F1" s="242"/>
      <c r="G1" s="243"/>
    </row>
    <row r="2" spans="1:7" ht="15">
      <c r="A2" s="271"/>
      <c r="B2" s="268" t="s">
        <v>32</v>
      </c>
      <c r="C2" s="269"/>
      <c r="D2" s="270"/>
      <c r="E2" s="269" t="s">
        <v>33</v>
      </c>
      <c r="F2" s="269"/>
      <c r="G2" s="270"/>
    </row>
    <row r="3" spans="1:7" ht="15">
      <c r="A3" s="272"/>
      <c r="B3" s="279"/>
      <c r="C3" s="280"/>
      <c r="D3" s="281"/>
      <c r="E3" s="280"/>
      <c r="F3" s="280"/>
      <c r="G3" s="281"/>
    </row>
    <row r="4" spans="1:7" ht="15.75" thickBot="1">
      <c r="A4" s="273"/>
      <c r="B4" s="100" t="s">
        <v>11</v>
      </c>
      <c r="C4" s="101" t="s">
        <v>10</v>
      </c>
      <c r="D4" s="102" t="s">
        <v>28</v>
      </c>
      <c r="E4" s="100" t="s">
        <v>11</v>
      </c>
      <c r="F4" s="101" t="s">
        <v>10</v>
      </c>
      <c r="G4" s="102" t="s">
        <v>28</v>
      </c>
    </row>
    <row r="5" spans="1:7" ht="15">
      <c r="A5" s="116">
        <v>2018</v>
      </c>
      <c r="B5" s="212">
        <f>'ATT 2 - Dev of Project VHT VMT'!H4</f>
        <v>16350</v>
      </c>
      <c r="C5" s="213">
        <f>'ATT 2 - Dev of Project VHT VMT'!H3</f>
        <v>16350</v>
      </c>
      <c r="D5" s="108">
        <f>C5-B5</f>
        <v>0</v>
      </c>
      <c r="E5" s="212">
        <f>'ATT 2 - Dev of Project VHT VMT'!G4</f>
        <v>335.175</v>
      </c>
      <c r="F5" s="213">
        <f>'ATT 2 - Dev of Project VHT VMT'!G3</f>
        <v>408.75</v>
      </c>
      <c r="G5" s="108">
        <f>F5-E5</f>
        <v>73.57499999999999</v>
      </c>
    </row>
    <row r="6" spans="1:7" ht="15.75" thickBot="1">
      <c r="A6" s="117">
        <v>2038</v>
      </c>
      <c r="B6" s="214">
        <f>'ATT 2 - Dev of Project VHT VMT'!H6</f>
        <v>21900</v>
      </c>
      <c r="C6" s="215">
        <f>'ATT 2 - Dev of Project VHT VMT'!H5</f>
        <v>21900</v>
      </c>
      <c r="D6" s="150">
        <f>C6-B6</f>
        <v>0</v>
      </c>
      <c r="E6" s="214">
        <f>'ATT 2 - Dev of Project VHT VMT'!G6</f>
        <v>448.95</v>
      </c>
      <c r="F6" s="215">
        <f>'ATT 2 - Dev of Project VHT VMT'!G5</f>
        <v>547.5</v>
      </c>
      <c r="G6" s="112">
        <f>F6-E6</f>
        <v>98.55000000000001</v>
      </c>
    </row>
    <row r="7" spans="1:8" ht="15.75" thickBot="1">
      <c r="A7" s="271"/>
      <c r="B7" s="268" t="s">
        <v>48</v>
      </c>
      <c r="C7" s="269"/>
      <c r="D7" s="269"/>
      <c r="E7" s="269"/>
      <c r="F7" s="269"/>
      <c r="G7" s="270"/>
      <c r="H7" s="106"/>
    </row>
    <row r="8" spans="1:7" ht="15">
      <c r="A8" s="274"/>
      <c r="B8" s="276" t="s">
        <v>32</v>
      </c>
      <c r="C8" s="277"/>
      <c r="D8" s="278"/>
      <c r="E8" s="276" t="s">
        <v>33</v>
      </c>
      <c r="F8" s="277"/>
      <c r="G8" s="278"/>
    </row>
    <row r="9" spans="1:7" ht="18" thickBot="1">
      <c r="A9" s="275"/>
      <c r="B9" s="100" t="s">
        <v>85</v>
      </c>
      <c r="C9" s="101" t="s">
        <v>10</v>
      </c>
      <c r="D9" s="102" t="s">
        <v>28</v>
      </c>
      <c r="E9" s="100" t="s">
        <v>85</v>
      </c>
      <c r="F9" s="101" t="s">
        <v>10</v>
      </c>
      <c r="G9" s="102" t="s">
        <v>28</v>
      </c>
    </row>
    <row r="10" spans="1:7" ht="15">
      <c r="A10" s="103">
        <v>2014</v>
      </c>
      <c r="B10" s="113">
        <f>C10</f>
        <v>15240</v>
      </c>
      <c r="C10" s="107">
        <f>TREND(C$5:C$6,$A$5:$A$6,$A10)</f>
        <v>15240</v>
      </c>
      <c r="D10" s="108">
        <f aca="true" t="shared" si="0" ref="D10:D34">C10-B10</f>
        <v>0</v>
      </c>
      <c r="E10" s="113">
        <f>F10</f>
        <v>381</v>
      </c>
      <c r="F10" s="107">
        <f>TREND(F$5:F$6,$A$5:$A$6,$A10)</f>
        <v>381</v>
      </c>
      <c r="G10" s="108">
        <f aca="true" t="shared" si="1" ref="G10:G34">F10-E10</f>
        <v>0</v>
      </c>
    </row>
    <row r="11" spans="1:7" ht="15">
      <c r="A11" s="104">
        <v>2015</v>
      </c>
      <c r="B11" s="114">
        <f>C11</f>
        <v>15517.5</v>
      </c>
      <c r="C11" s="109">
        <f aca="true" t="shared" si="2" ref="B11:F34">TREND(C$5:C$6,$A$5:$A$6,$A11)</f>
        <v>15517.5</v>
      </c>
      <c r="D11" s="110">
        <f t="shared" si="0"/>
        <v>0</v>
      </c>
      <c r="E11" s="114">
        <f>F11</f>
        <v>387.9375</v>
      </c>
      <c r="F11" s="109">
        <f t="shared" si="2"/>
        <v>387.9375</v>
      </c>
      <c r="G11" s="110">
        <f t="shared" si="1"/>
        <v>0</v>
      </c>
    </row>
    <row r="12" spans="1:7" ht="15">
      <c r="A12" s="104">
        <v>2016</v>
      </c>
      <c r="B12" s="114">
        <f>C12</f>
        <v>15795</v>
      </c>
      <c r="C12" s="109">
        <f t="shared" si="2"/>
        <v>15795</v>
      </c>
      <c r="D12" s="110">
        <f t="shared" si="0"/>
        <v>0</v>
      </c>
      <c r="E12" s="114">
        <f>F12</f>
        <v>394.875</v>
      </c>
      <c r="F12" s="109">
        <f t="shared" si="2"/>
        <v>394.875</v>
      </c>
      <c r="G12" s="110">
        <f t="shared" si="1"/>
        <v>0</v>
      </c>
    </row>
    <row r="13" spans="1:7" ht="15">
      <c r="A13" s="104">
        <v>2017</v>
      </c>
      <c r="B13" s="114">
        <f>C13</f>
        <v>16072.5</v>
      </c>
      <c r="C13" s="109">
        <f t="shared" si="2"/>
        <v>16072.5</v>
      </c>
      <c r="D13" s="110">
        <f t="shared" si="0"/>
        <v>0</v>
      </c>
      <c r="E13" s="114">
        <f>F13</f>
        <v>401.8125</v>
      </c>
      <c r="F13" s="109">
        <f t="shared" si="2"/>
        <v>401.8125</v>
      </c>
      <c r="G13" s="110">
        <f t="shared" si="1"/>
        <v>0</v>
      </c>
    </row>
    <row r="14" spans="1:7" ht="15">
      <c r="A14" s="104">
        <v>2018</v>
      </c>
      <c r="B14" s="114">
        <f>C14</f>
        <v>16350</v>
      </c>
      <c r="C14" s="109">
        <f t="shared" si="2"/>
        <v>16350</v>
      </c>
      <c r="D14" s="110">
        <f t="shared" si="0"/>
        <v>0</v>
      </c>
      <c r="E14" s="114">
        <f>F14</f>
        <v>408.75</v>
      </c>
      <c r="F14" s="109">
        <f t="shared" si="2"/>
        <v>408.75</v>
      </c>
      <c r="G14" s="110">
        <f t="shared" si="1"/>
        <v>0</v>
      </c>
    </row>
    <row r="15" spans="1:7" ht="15">
      <c r="A15" s="104">
        <v>2019</v>
      </c>
      <c r="B15" s="114">
        <f t="shared" si="2"/>
        <v>16627.5</v>
      </c>
      <c r="C15" s="109">
        <f t="shared" si="2"/>
        <v>16627.5</v>
      </c>
      <c r="D15" s="110">
        <f t="shared" si="0"/>
        <v>0</v>
      </c>
      <c r="E15" s="114">
        <f t="shared" si="2"/>
        <v>340.86375000000044</v>
      </c>
      <c r="F15" s="109">
        <f t="shared" si="2"/>
        <v>415.6875</v>
      </c>
      <c r="G15" s="110">
        <f t="shared" si="1"/>
        <v>74.82374999999956</v>
      </c>
    </row>
    <row r="16" spans="1:7" ht="15" customHeight="1">
      <c r="A16" s="104">
        <v>2020</v>
      </c>
      <c r="B16" s="114">
        <f t="shared" si="2"/>
        <v>16905</v>
      </c>
      <c r="C16" s="109">
        <f t="shared" si="2"/>
        <v>16905</v>
      </c>
      <c r="D16" s="110">
        <f t="shared" si="0"/>
        <v>0</v>
      </c>
      <c r="E16" s="114">
        <f t="shared" si="2"/>
        <v>346.5524999999998</v>
      </c>
      <c r="F16" s="109">
        <f t="shared" si="2"/>
        <v>422.625</v>
      </c>
      <c r="G16" s="110">
        <f t="shared" si="1"/>
        <v>76.07250000000022</v>
      </c>
    </row>
    <row r="17" spans="1:7" ht="15">
      <c r="A17" s="104">
        <v>2021</v>
      </c>
      <c r="B17" s="114">
        <f t="shared" si="2"/>
        <v>17182.5</v>
      </c>
      <c r="C17" s="109">
        <f t="shared" si="2"/>
        <v>17182.5</v>
      </c>
      <c r="D17" s="110">
        <f t="shared" si="0"/>
        <v>0</v>
      </c>
      <c r="E17" s="114">
        <f t="shared" si="2"/>
        <v>352.2412499999991</v>
      </c>
      <c r="F17" s="109">
        <f t="shared" si="2"/>
        <v>429.5625</v>
      </c>
      <c r="G17" s="110">
        <f t="shared" si="1"/>
        <v>77.32125000000087</v>
      </c>
    </row>
    <row r="18" spans="1:7" ht="15">
      <c r="A18" s="104">
        <v>2022</v>
      </c>
      <c r="B18" s="114">
        <f t="shared" si="2"/>
        <v>17460</v>
      </c>
      <c r="C18" s="109">
        <f t="shared" si="2"/>
        <v>17460</v>
      </c>
      <c r="D18" s="110">
        <f t="shared" si="0"/>
        <v>0</v>
      </c>
      <c r="E18" s="114">
        <f t="shared" si="2"/>
        <v>357.9300000000003</v>
      </c>
      <c r="F18" s="109">
        <f t="shared" si="2"/>
        <v>436.5</v>
      </c>
      <c r="G18" s="110">
        <f t="shared" si="1"/>
        <v>78.56999999999971</v>
      </c>
    </row>
    <row r="19" spans="1:7" ht="15">
      <c r="A19" s="104">
        <v>2023</v>
      </c>
      <c r="B19" s="114">
        <f t="shared" si="2"/>
        <v>17737.5</v>
      </c>
      <c r="C19" s="109">
        <f t="shared" si="2"/>
        <v>17737.5</v>
      </c>
      <c r="D19" s="110">
        <f t="shared" si="0"/>
        <v>0</v>
      </c>
      <c r="E19" s="114">
        <f t="shared" si="2"/>
        <v>363.61874999999964</v>
      </c>
      <c r="F19" s="109">
        <f t="shared" si="2"/>
        <v>443.4375</v>
      </c>
      <c r="G19" s="110">
        <f t="shared" si="1"/>
        <v>79.81875000000036</v>
      </c>
    </row>
    <row r="20" spans="1:7" ht="15">
      <c r="A20" s="104">
        <v>2024</v>
      </c>
      <c r="B20" s="114">
        <f t="shared" si="2"/>
        <v>18015</v>
      </c>
      <c r="C20" s="109">
        <f t="shared" si="2"/>
        <v>18015</v>
      </c>
      <c r="D20" s="110">
        <f t="shared" si="0"/>
        <v>0</v>
      </c>
      <c r="E20" s="114">
        <f t="shared" si="2"/>
        <v>369.307499999999</v>
      </c>
      <c r="F20" s="109">
        <f t="shared" si="2"/>
        <v>450.375</v>
      </c>
      <c r="G20" s="110">
        <f t="shared" si="1"/>
        <v>81.06750000000102</v>
      </c>
    </row>
    <row r="21" spans="1:7" ht="15">
      <c r="A21" s="104">
        <v>2025</v>
      </c>
      <c r="B21" s="114">
        <f t="shared" si="2"/>
        <v>18292.5</v>
      </c>
      <c r="C21" s="109">
        <f t="shared" si="2"/>
        <v>18292.5</v>
      </c>
      <c r="D21" s="110">
        <f t="shared" si="0"/>
        <v>0</v>
      </c>
      <c r="E21" s="114">
        <f t="shared" si="2"/>
        <v>374.99625000000015</v>
      </c>
      <c r="F21" s="109">
        <f t="shared" si="2"/>
        <v>457.3125</v>
      </c>
      <c r="G21" s="110">
        <f t="shared" si="1"/>
        <v>82.31624999999985</v>
      </c>
    </row>
    <row r="22" spans="1:7" ht="15">
      <c r="A22" s="104">
        <v>2026</v>
      </c>
      <c r="B22" s="114">
        <f t="shared" si="2"/>
        <v>18570</v>
      </c>
      <c r="C22" s="109">
        <f t="shared" si="2"/>
        <v>18570</v>
      </c>
      <c r="D22" s="110">
        <f t="shared" si="0"/>
        <v>0</v>
      </c>
      <c r="E22" s="114">
        <f t="shared" si="2"/>
        <v>380.6849999999995</v>
      </c>
      <c r="F22" s="109">
        <f t="shared" si="2"/>
        <v>464.25</v>
      </c>
      <c r="G22" s="110">
        <f t="shared" si="1"/>
        <v>83.56500000000051</v>
      </c>
    </row>
    <row r="23" spans="1:7" ht="15">
      <c r="A23" s="104">
        <v>2027</v>
      </c>
      <c r="B23" s="114">
        <f t="shared" si="2"/>
        <v>18847.5</v>
      </c>
      <c r="C23" s="109">
        <f t="shared" si="2"/>
        <v>18847.5</v>
      </c>
      <c r="D23" s="110">
        <f t="shared" si="0"/>
        <v>0</v>
      </c>
      <c r="E23" s="114">
        <f t="shared" si="2"/>
        <v>386.37374999999884</v>
      </c>
      <c r="F23" s="109">
        <f t="shared" si="2"/>
        <v>471.1875</v>
      </c>
      <c r="G23" s="110">
        <f t="shared" si="1"/>
        <v>84.81375000000116</v>
      </c>
    </row>
    <row r="24" spans="1:7" ht="15">
      <c r="A24" s="104">
        <v>2028</v>
      </c>
      <c r="B24" s="114">
        <f t="shared" si="2"/>
        <v>19125</v>
      </c>
      <c r="C24" s="109">
        <f t="shared" si="2"/>
        <v>19125</v>
      </c>
      <c r="D24" s="110">
        <f t="shared" si="0"/>
        <v>0</v>
      </c>
      <c r="E24" s="114">
        <f t="shared" si="2"/>
        <v>392.0625</v>
      </c>
      <c r="F24" s="109">
        <f t="shared" si="2"/>
        <v>478.125</v>
      </c>
      <c r="G24" s="110">
        <f t="shared" si="1"/>
        <v>86.0625</v>
      </c>
    </row>
    <row r="25" spans="1:7" ht="15">
      <c r="A25" s="104">
        <v>2029</v>
      </c>
      <c r="B25" s="114">
        <f t="shared" si="2"/>
        <v>19402.5</v>
      </c>
      <c r="C25" s="109">
        <f t="shared" si="2"/>
        <v>19402.5</v>
      </c>
      <c r="D25" s="110">
        <f t="shared" si="0"/>
        <v>0</v>
      </c>
      <c r="E25" s="114">
        <f t="shared" si="2"/>
        <v>397.75124999999935</v>
      </c>
      <c r="F25" s="109">
        <f t="shared" si="2"/>
        <v>485.0625</v>
      </c>
      <c r="G25" s="110">
        <f t="shared" si="1"/>
        <v>87.31125000000065</v>
      </c>
    </row>
    <row r="26" spans="1:7" ht="15">
      <c r="A26" s="104">
        <v>2030</v>
      </c>
      <c r="B26" s="114">
        <f t="shared" si="2"/>
        <v>19680</v>
      </c>
      <c r="C26" s="109">
        <f t="shared" si="2"/>
        <v>19680</v>
      </c>
      <c r="D26" s="110">
        <f t="shared" si="0"/>
        <v>0</v>
      </c>
      <c r="E26" s="114">
        <f t="shared" si="2"/>
        <v>403.4400000000005</v>
      </c>
      <c r="F26" s="109">
        <f t="shared" si="2"/>
        <v>492</v>
      </c>
      <c r="G26" s="110">
        <f t="shared" si="1"/>
        <v>88.55999999999949</v>
      </c>
    </row>
    <row r="27" spans="1:7" ht="15">
      <c r="A27" s="104">
        <v>2031</v>
      </c>
      <c r="B27" s="114">
        <f t="shared" si="2"/>
        <v>19957.5</v>
      </c>
      <c r="C27" s="109">
        <f t="shared" si="2"/>
        <v>19957.5</v>
      </c>
      <c r="D27" s="110">
        <f t="shared" si="0"/>
        <v>0</v>
      </c>
      <c r="E27" s="114">
        <f t="shared" si="2"/>
        <v>409.12874999999985</v>
      </c>
      <c r="F27" s="109">
        <f t="shared" si="2"/>
        <v>498.9375</v>
      </c>
      <c r="G27" s="110">
        <f t="shared" si="1"/>
        <v>89.80875000000015</v>
      </c>
    </row>
    <row r="28" spans="1:7" ht="15">
      <c r="A28" s="104">
        <v>2032</v>
      </c>
      <c r="B28" s="114">
        <f t="shared" si="2"/>
        <v>20235</v>
      </c>
      <c r="C28" s="109">
        <f t="shared" si="2"/>
        <v>20235</v>
      </c>
      <c r="D28" s="110">
        <f t="shared" si="0"/>
        <v>0</v>
      </c>
      <c r="E28" s="114">
        <f t="shared" si="2"/>
        <v>414.8174999999992</v>
      </c>
      <c r="F28" s="109">
        <f t="shared" si="2"/>
        <v>505.875</v>
      </c>
      <c r="G28" s="110">
        <f t="shared" si="1"/>
        <v>91.0575000000008</v>
      </c>
    </row>
    <row r="29" spans="1:7" ht="15">
      <c r="A29" s="104">
        <v>2033</v>
      </c>
      <c r="B29" s="114">
        <f t="shared" si="2"/>
        <v>20512.5</v>
      </c>
      <c r="C29" s="109">
        <f t="shared" si="2"/>
        <v>20512.5</v>
      </c>
      <c r="D29" s="110">
        <f t="shared" si="0"/>
        <v>0</v>
      </c>
      <c r="E29" s="114">
        <f t="shared" si="2"/>
        <v>420.50625000000036</v>
      </c>
      <c r="F29" s="109">
        <f t="shared" si="2"/>
        <v>512.8125</v>
      </c>
      <c r="G29" s="110">
        <f t="shared" si="1"/>
        <v>92.30624999999964</v>
      </c>
    </row>
    <row r="30" spans="1:7" ht="15">
      <c r="A30" s="104">
        <v>2034</v>
      </c>
      <c r="B30" s="114">
        <f t="shared" si="2"/>
        <v>20790</v>
      </c>
      <c r="C30" s="109">
        <f t="shared" si="2"/>
        <v>20790</v>
      </c>
      <c r="D30" s="110">
        <f t="shared" si="0"/>
        <v>0</v>
      </c>
      <c r="E30" s="114">
        <f t="shared" si="2"/>
        <v>426.1949999999997</v>
      </c>
      <c r="F30" s="109">
        <f t="shared" si="2"/>
        <v>519.75</v>
      </c>
      <c r="G30" s="110">
        <f t="shared" si="1"/>
        <v>93.55500000000029</v>
      </c>
    </row>
    <row r="31" spans="1:7" ht="15">
      <c r="A31" s="104">
        <v>2035</v>
      </c>
      <c r="B31" s="114">
        <f t="shared" si="2"/>
        <v>21067.5</v>
      </c>
      <c r="C31" s="109">
        <f t="shared" si="2"/>
        <v>21067.5</v>
      </c>
      <c r="D31" s="110">
        <f t="shared" si="0"/>
        <v>0</v>
      </c>
      <c r="E31" s="114">
        <f t="shared" si="2"/>
        <v>431.88374999999905</v>
      </c>
      <c r="F31" s="109">
        <f t="shared" si="2"/>
        <v>526.6875</v>
      </c>
      <c r="G31" s="110">
        <f t="shared" si="1"/>
        <v>94.80375000000095</v>
      </c>
    </row>
    <row r="32" spans="1:7" ht="15">
      <c r="A32" s="104">
        <v>2036</v>
      </c>
      <c r="B32" s="114">
        <f t="shared" si="2"/>
        <v>21345</v>
      </c>
      <c r="C32" s="109">
        <f t="shared" si="2"/>
        <v>21345</v>
      </c>
      <c r="D32" s="110">
        <f t="shared" si="0"/>
        <v>0</v>
      </c>
      <c r="E32" s="114">
        <f t="shared" si="2"/>
        <v>437.5725000000002</v>
      </c>
      <c r="F32" s="109">
        <f t="shared" si="2"/>
        <v>533.625</v>
      </c>
      <c r="G32" s="110">
        <f t="shared" si="1"/>
        <v>96.05249999999978</v>
      </c>
    </row>
    <row r="33" spans="1:7" ht="15">
      <c r="A33" s="104">
        <v>2037</v>
      </c>
      <c r="B33" s="114">
        <f t="shared" si="2"/>
        <v>21622.5</v>
      </c>
      <c r="C33" s="109">
        <f t="shared" si="2"/>
        <v>21622.5</v>
      </c>
      <c r="D33" s="110">
        <f t="shared" si="0"/>
        <v>0</v>
      </c>
      <c r="E33" s="114">
        <f t="shared" si="2"/>
        <v>443.26124999999956</v>
      </c>
      <c r="F33" s="109">
        <f t="shared" si="2"/>
        <v>540.5625</v>
      </c>
      <c r="G33" s="110">
        <f t="shared" si="1"/>
        <v>97.30125000000044</v>
      </c>
    </row>
    <row r="34" spans="1:7" ht="15.75" thickBot="1">
      <c r="A34" s="105">
        <v>2038</v>
      </c>
      <c r="B34" s="115">
        <f t="shared" si="2"/>
        <v>21900</v>
      </c>
      <c r="C34" s="111">
        <f t="shared" si="2"/>
        <v>21900</v>
      </c>
      <c r="D34" s="112">
        <f t="shared" si="0"/>
        <v>0</v>
      </c>
      <c r="E34" s="115">
        <f t="shared" si="2"/>
        <v>448.9499999999989</v>
      </c>
      <c r="F34" s="111">
        <f t="shared" si="2"/>
        <v>547.5</v>
      </c>
      <c r="G34" s="112">
        <f t="shared" si="1"/>
        <v>98.55000000000109</v>
      </c>
    </row>
    <row r="35" ht="15">
      <c r="A35" t="s">
        <v>86</v>
      </c>
    </row>
    <row r="36" ht="15">
      <c r="A36" t="s">
        <v>121</v>
      </c>
    </row>
  </sheetData>
  <sheetProtection/>
  <mergeCells count="8">
    <mergeCell ref="A1:G1"/>
    <mergeCell ref="B7:G7"/>
    <mergeCell ref="A2:A4"/>
    <mergeCell ref="A7:A9"/>
    <mergeCell ref="B8:D8"/>
    <mergeCell ref="E8:G8"/>
    <mergeCell ref="B2:D3"/>
    <mergeCell ref="E2:G3"/>
  </mergeCells>
  <printOptions/>
  <pageMargins left="0.7" right="0.7" top="0.75" bottom="0.75" header="0.3" footer="0.3"/>
  <pageSetup horizontalDpi="600" verticalDpi="600" orientation="portrait" r:id="rId1"/>
  <ignoredErrors>
    <ignoredError sqref="D15:D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9.28125" style="0" bestFit="1" customWidth="1"/>
    <col min="2" max="2" width="11.57421875" style="0" customWidth="1"/>
    <col min="3" max="3" width="12.28125" style="2" bestFit="1" customWidth="1"/>
    <col min="4" max="4" width="10.57421875" style="2" bestFit="1" customWidth="1"/>
    <col min="6" max="6" width="12.28125" style="2" bestFit="1" customWidth="1"/>
    <col min="7" max="7" width="10.57421875" style="2" bestFit="1" customWidth="1"/>
    <col min="8" max="8" width="15.421875" style="0" customWidth="1"/>
    <col min="9" max="9" width="12.57421875" style="0" hidden="1" customWidth="1"/>
  </cols>
  <sheetData>
    <row r="1" spans="1:9" ht="18.75" thickBot="1">
      <c r="A1" s="292" t="s">
        <v>7</v>
      </c>
      <c r="B1" s="293"/>
      <c r="C1" s="293"/>
      <c r="D1" s="293"/>
      <c r="E1" s="293"/>
      <c r="F1" s="293"/>
      <c r="G1" s="293"/>
      <c r="H1" s="294"/>
      <c r="I1" s="73"/>
    </row>
    <row r="2" spans="1:9" ht="15">
      <c r="A2" s="290" t="s">
        <v>0</v>
      </c>
      <c r="B2" s="283" t="s">
        <v>11</v>
      </c>
      <c r="C2" s="284"/>
      <c r="D2" s="285"/>
      <c r="E2" s="286" t="s">
        <v>10</v>
      </c>
      <c r="F2" s="284"/>
      <c r="G2" s="287"/>
      <c r="H2" s="288" t="s">
        <v>47</v>
      </c>
      <c r="I2" s="21" t="s">
        <v>12</v>
      </c>
    </row>
    <row r="3" spans="1:9" ht="15.75" thickBot="1">
      <c r="A3" s="291"/>
      <c r="B3" s="67" t="s">
        <v>1</v>
      </c>
      <c r="C3" s="68" t="s">
        <v>106</v>
      </c>
      <c r="D3" s="69" t="s">
        <v>21</v>
      </c>
      <c r="E3" s="70" t="s">
        <v>1</v>
      </c>
      <c r="F3" s="68" t="s">
        <v>106</v>
      </c>
      <c r="G3" s="71" t="s">
        <v>21</v>
      </c>
      <c r="H3" s="289"/>
      <c r="I3" s="22" t="s">
        <v>22</v>
      </c>
    </row>
    <row r="4" spans="1:9" ht="15">
      <c r="A4" s="50">
        <v>2014</v>
      </c>
      <c r="B4" s="56"/>
      <c r="C4" s="52">
        <v>0</v>
      </c>
      <c r="D4" s="53">
        <v>0</v>
      </c>
      <c r="E4" s="51"/>
      <c r="F4" s="52">
        <v>0</v>
      </c>
      <c r="G4" s="59">
        <v>0</v>
      </c>
      <c r="H4" s="62">
        <f>(C4+D4)-(F4+G4)</f>
        <v>0</v>
      </c>
      <c r="I4" s="2">
        <f>H4*(1+'Total Benefit Cost'!$B$5)^(A4-$A$6)</f>
        <v>0</v>
      </c>
    </row>
    <row r="5" spans="1:9" ht="15">
      <c r="A5" s="48">
        <v>2015</v>
      </c>
      <c r="B5" s="57" t="s">
        <v>105</v>
      </c>
      <c r="C5" s="42">
        <f>15000000*0.14</f>
        <v>2100000</v>
      </c>
      <c r="D5" s="44">
        <v>0</v>
      </c>
      <c r="E5" s="47"/>
      <c r="F5" s="42">
        <v>0</v>
      </c>
      <c r="G5" s="60">
        <v>0</v>
      </c>
      <c r="H5" s="63">
        <f>(C5+D5)-(F5+G5)</f>
        <v>2100000</v>
      </c>
      <c r="I5" s="2">
        <f>H5*(1+'Total Benefit Cost'!$B$5)^(A5-$A$6)</f>
        <v>2100000</v>
      </c>
    </row>
    <row r="6" spans="1:9" ht="15">
      <c r="A6" s="48">
        <v>2016</v>
      </c>
      <c r="B6" s="57" t="s">
        <v>107</v>
      </c>
      <c r="C6" s="43">
        <f>3375000*1.1</f>
        <v>3712500.0000000005</v>
      </c>
      <c r="D6" s="44">
        <v>0</v>
      </c>
      <c r="E6" s="54"/>
      <c r="F6" s="42">
        <v>0</v>
      </c>
      <c r="G6" s="60">
        <v>0</v>
      </c>
      <c r="H6" s="63">
        <f>(C6+D6)-(F6+G6)</f>
        <v>3712500.0000000005</v>
      </c>
      <c r="I6" s="2">
        <f>H6*(1+'Total Benefit Cost'!$B$5)^(A6-$A$6)</f>
        <v>3712500.0000000005</v>
      </c>
    </row>
    <row r="7" spans="1:9" ht="15">
      <c r="A7" s="48">
        <v>2017</v>
      </c>
      <c r="B7" s="57" t="s">
        <v>107</v>
      </c>
      <c r="C7" s="42">
        <f>7250000*1.1</f>
        <v>7975000.000000001</v>
      </c>
      <c r="D7" s="44">
        <v>0</v>
      </c>
      <c r="E7" s="54"/>
      <c r="F7" s="42">
        <v>0</v>
      </c>
      <c r="G7" s="60">
        <v>0</v>
      </c>
      <c r="H7" s="63">
        <f aca="true" t="shared" si="0" ref="H7:H28">(C7+D7)-(F7+G7)</f>
        <v>7975000.000000001</v>
      </c>
      <c r="I7" s="2">
        <f>H7*(1+'Total Benefit Cost'!$B$5)^(A7-$A$6)</f>
        <v>7975000.000000001</v>
      </c>
    </row>
    <row r="8" spans="1:9" ht="15">
      <c r="A8" s="48">
        <v>2018</v>
      </c>
      <c r="B8" s="57" t="s">
        <v>107</v>
      </c>
      <c r="C8" s="42">
        <f>3375000*1.1</f>
        <v>3712500.0000000005</v>
      </c>
      <c r="D8" s="44">
        <v>0</v>
      </c>
      <c r="E8" s="54"/>
      <c r="F8" s="42">
        <v>0</v>
      </c>
      <c r="G8" s="60">
        <v>0</v>
      </c>
      <c r="H8" s="63">
        <f t="shared" si="0"/>
        <v>3712500.0000000005</v>
      </c>
      <c r="I8" s="2">
        <f>H8*(1+'Total Benefit Cost'!$B$5)^(A8-$A$6)</f>
        <v>3712500.0000000005</v>
      </c>
    </row>
    <row r="9" spans="1:9" ht="15">
      <c r="A9" s="48">
        <v>2019</v>
      </c>
      <c r="B9" s="57"/>
      <c r="C9" s="42">
        <v>0</v>
      </c>
      <c r="D9" s="44">
        <v>0</v>
      </c>
      <c r="E9" s="54"/>
      <c r="F9" s="42">
        <v>0</v>
      </c>
      <c r="G9" s="60">
        <v>0</v>
      </c>
      <c r="H9" s="63">
        <f t="shared" si="0"/>
        <v>0</v>
      </c>
      <c r="I9" s="2">
        <f>H9*(1+'Total Benefit Cost'!$B$5)^(A9-$A$6)</f>
        <v>0</v>
      </c>
    </row>
    <row r="10" spans="1:9" ht="15">
      <c r="A10" s="48">
        <v>2020</v>
      </c>
      <c r="B10" s="57"/>
      <c r="C10" s="42">
        <v>0</v>
      </c>
      <c r="D10" s="44">
        <v>0</v>
      </c>
      <c r="E10" s="54"/>
      <c r="F10" s="42">
        <v>0</v>
      </c>
      <c r="G10" s="60">
        <v>0</v>
      </c>
      <c r="H10" s="63">
        <f t="shared" si="0"/>
        <v>0</v>
      </c>
      <c r="I10" s="2">
        <f>H10*(1+'Total Benefit Cost'!$B$5)^(A10-$A$6)</f>
        <v>0</v>
      </c>
    </row>
    <row r="11" spans="1:9" ht="15">
      <c r="A11" s="48">
        <v>2021</v>
      </c>
      <c r="B11" s="57"/>
      <c r="C11" s="42">
        <v>0</v>
      </c>
      <c r="D11" s="44">
        <v>0</v>
      </c>
      <c r="E11" s="54"/>
      <c r="F11" s="42">
        <v>0</v>
      </c>
      <c r="G11" s="60">
        <v>0</v>
      </c>
      <c r="H11" s="63">
        <f t="shared" si="0"/>
        <v>0</v>
      </c>
      <c r="I11" s="2">
        <f>H11*(1+'Total Benefit Cost'!$B$5)^(A11-$A$6)</f>
        <v>0</v>
      </c>
    </row>
    <row r="12" spans="1:9" ht="15">
      <c r="A12" s="48">
        <v>2022</v>
      </c>
      <c r="B12" s="57"/>
      <c r="C12" s="42">
        <v>0</v>
      </c>
      <c r="D12" s="44">
        <v>0</v>
      </c>
      <c r="E12" s="54"/>
      <c r="F12" s="42">
        <v>0</v>
      </c>
      <c r="G12" s="60">
        <v>0</v>
      </c>
      <c r="H12" s="63">
        <f t="shared" si="0"/>
        <v>0</v>
      </c>
      <c r="I12" s="2">
        <f>H12*(1+'Total Benefit Cost'!$B$5)^(A12-$A$6)</f>
        <v>0</v>
      </c>
    </row>
    <row r="13" spans="1:9" ht="15">
      <c r="A13" s="48">
        <v>2023</v>
      </c>
      <c r="B13" s="57"/>
      <c r="C13" s="42">
        <v>0</v>
      </c>
      <c r="D13" s="44">
        <v>0</v>
      </c>
      <c r="E13" s="54"/>
      <c r="F13" s="42">
        <v>0</v>
      </c>
      <c r="G13" s="60">
        <v>0</v>
      </c>
      <c r="H13" s="63">
        <f t="shared" si="0"/>
        <v>0</v>
      </c>
      <c r="I13" s="2">
        <f>H13*(1+'Total Benefit Cost'!$B$5)^(A13-$A$6)</f>
        <v>0</v>
      </c>
    </row>
    <row r="14" spans="1:9" ht="15">
      <c r="A14" s="48">
        <v>2024</v>
      </c>
      <c r="B14" s="57"/>
      <c r="C14" s="42">
        <v>0</v>
      </c>
      <c r="D14" s="44">
        <v>0</v>
      </c>
      <c r="E14" s="54"/>
      <c r="F14" s="42">
        <v>0</v>
      </c>
      <c r="G14" s="60">
        <v>0</v>
      </c>
      <c r="H14" s="63">
        <f t="shared" si="0"/>
        <v>0</v>
      </c>
      <c r="I14" s="2">
        <f>H14*(1+'Total Benefit Cost'!$B$5)^(A14-$A$6)</f>
        <v>0</v>
      </c>
    </row>
    <row r="15" spans="1:9" ht="15">
      <c r="A15" s="48">
        <v>2025</v>
      </c>
      <c r="B15" s="57"/>
      <c r="C15" s="42">
        <v>0</v>
      </c>
      <c r="D15" s="44">
        <v>0</v>
      </c>
      <c r="E15" s="54"/>
      <c r="F15" s="42">
        <v>0</v>
      </c>
      <c r="G15" s="60">
        <v>0</v>
      </c>
      <c r="H15" s="63">
        <f t="shared" si="0"/>
        <v>0</v>
      </c>
      <c r="I15" s="2">
        <f>H15*(1+'Total Benefit Cost'!$B$5)^(A15-$A$6)</f>
        <v>0</v>
      </c>
    </row>
    <row r="16" spans="1:9" ht="15">
      <c r="A16" s="48">
        <v>2026</v>
      </c>
      <c r="B16" s="57"/>
      <c r="C16" s="42">
        <v>0</v>
      </c>
      <c r="D16" s="44">
        <v>0</v>
      </c>
      <c r="E16" s="54"/>
      <c r="F16" s="42">
        <v>0</v>
      </c>
      <c r="G16" s="60">
        <v>0</v>
      </c>
      <c r="H16" s="63">
        <f t="shared" si="0"/>
        <v>0</v>
      </c>
      <c r="I16" s="2">
        <f>H16*(1+'Total Benefit Cost'!$B$5)^(A16-$A$6)</f>
        <v>0</v>
      </c>
    </row>
    <row r="17" spans="1:9" ht="15">
      <c r="A17" s="48">
        <v>2027</v>
      </c>
      <c r="B17" s="57"/>
      <c r="C17" s="42">
        <v>0</v>
      </c>
      <c r="D17" s="44">
        <v>0</v>
      </c>
      <c r="E17" s="54"/>
      <c r="F17" s="42">
        <v>0</v>
      </c>
      <c r="G17" s="60">
        <v>0</v>
      </c>
      <c r="H17" s="63">
        <f t="shared" si="0"/>
        <v>0</v>
      </c>
      <c r="I17" s="2">
        <f>H17*(1+'Total Benefit Cost'!$B$5)^(A17-$A$6)</f>
        <v>0</v>
      </c>
    </row>
    <row r="18" spans="1:9" ht="15">
      <c r="A18" s="48">
        <v>2028</v>
      </c>
      <c r="B18" s="57"/>
      <c r="C18" s="42">
        <v>0</v>
      </c>
      <c r="D18" s="44">
        <v>0</v>
      </c>
      <c r="E18" s="54"/>
      <c r="F18" s="42">
        <v>0</v>
      </c>
      <c r="G18" s="60">
        <v>0</v>
      </c>
      <c r="H18" s="63">
        <f t="shared" si="0"/>
        <v>0</v>
      </c>
      <c r="I18" s="2">
        <f>H18*(1+'Total Benefit Cost'!$B$5)^(A18-$A$6)</f>
        <v>0</v>
      </c>
    </row>
    <row r="19" spans="1:9" ht="15">
      <c r="A19" s="48">
        <v>2029</v>
      </c>
      <c r="B19" s="57"/>
      <c r="C19" s="42">
        <v>0</v>
      </c>
      <c r="D19" s="44">
        <v>0</v>
      </c>
      <c r="E19" s="54"/>
      <c r="F19" s="42">
        <v>0</v>
      </c>
      <c r="G19" s="60">
        <v>0</v>
      </c>
      <c r="H19" s="63">
        <f t="shared" si="0"/>
        <v>0</v>
      </c>
      <c r="I19" s="2">
        <f>H19*(1+'Total Benefit Cost'!$B$5)^(A19-$A$6)</f>
        <v>0</v>
      </c>
    </row>
    <row r="20" spans="1:9" ht="15">
      <c r="A20" s="48">
        <v>2030</v>
      </c>
      <c r="B20" s="57"/>
      <c r="C20" s="42">
        <v>0</v>
      </c>
      <c r="D20" s="44">
        <v>0</v>
      </c>
      <c r="E20" s="54"/>
      <c r="F20" s="42">
        <v>0</v>
      </c>
      <c r="G20" s="60">
        <v>0</v>
      </c>
      <c r="H20" s="63">
        <f t="shared" si="0"/>
        <v>0</v>
      </c>
      <c r="I20" s="2">
        <f>H20*(1+'Total Benefit Cost'!$B$5)^(A20-$A$6)</f>
        <v>0</v>
      </c>
    </row>
    <row r="21" spans="1:9" ht="15">
      <c r="A21" s="48">
        <v>2031</v>
      </c>
      <c r="B21" s="57"/>
      <c r="C21" s="42">
        <v>0</v>
      </c>
      <c r="D21" s="44">
        <v>0</v>
      </c>
      <c r="E21" s="54"/>
      <c r="F21" s="42">
        <v>0</v>
      </c>
      <c r="G21" s="60">
        <v>0</v>
      </c>
      <c r="H21" s="63">
        <f t="shared" si="0"/>
        <v>0</v>
      </c>
      <c r="I21" s="2">
        <f>H21*(1+'Total Benefit Cost'!$B$5)^(A21-$A$6)</f>
        <v>0</v>
      </c>
    </row>
    <row r="22" spans="1:9" ht="15">
      <c r="A22" s="48">
        <v>2032</v>
      </c>
      <c r="B22" s="57"/>
      <c r="C22" s="42">
        <v>0</v>
      </c>
      <c r="D22" s="44">
        <v>0</v>
      </c>
      <c r="E22" s="54"/>
      <c r="F22" s="42">
        <v>0</v>
      </c>
      <c r="G22" s="60">
        <v>0</v>
      </c>
      <c r="H22" s="63">
        <f t="shared" si="0"/>
        <v>0</v>
      </c>
      <c r="I22" s="2">
        <f>H22*(1+'Total Benefit Cost'!$B$5)^(A22-$A$6)</f>
        <v>0</v>
      </c>
    </row>
    <row r="23" spans="1:9" ht="15">
      <c r="A23" s="48">
        <v>2033</v>
      </c>
      <c r="B23" s="57"/>
      <c r="C23" s="42">
        <v>0</v>
      </c>
      <c r="D23" s="44">
        <v>0</v>
      </c>
      <c r="E23" s="54"/>
      <c r="F23" s="42">
        <v>0</v>
      </c>
      <c r="G23" s="60">
        <v>0</v>
      </c>
      <c r="H23" s="63">
        <f t="shared" si="0"/>
        <v>0</v>
      </c>
      <c r="I23" s="2">
        <f>H23*(1+'Total Benefit Cost'!$B$5)^(A23-$A$6)</f>
        <v>0</v>
      </c>
    </row>
    <row r="24" spans="1:9" ht="15">
      <c r="A24" s="48">
        <v>2034</v>
      </c>
      <c r="B24" s="57"/>
      <c r="C24" s="42">
        <v>0</v>
      </c>
      <c r="D24" s="44">
        <v>0</v>
      </c>
      <c r="E24" s="54"/>
      <c r="F24" s="42">
        <v>0</v>
      </c>
      <c r="G24" s="60">
        <v>0</v>
      </c>
      <c r="H24" s="63">
        <f t="shared" si="0"/>
        <v>0</v>
      </c>
      <c r="I24" s="2">
        <f>H24*(1+'Total Benefit Cost'!$B$5)^(A24-$A$6)</f>
        <v>0</v>
      </c>
    </row>
    <row r="25" spans="1:9" ht="15">
      <c r="A25" s="48">
        <v>2035</v>
      </c>
      <c r="B25" s="57"/>
      <c r="C25" s="42">
        <v>0</v>
      </c>
      <c r="D25" s="44">
        <v>0</v>
      </c>
      <c r="E25" s="54"/>
      <c r="F25" s="42">
        <v>0</v>
      </c>
      <c r="G25" s="60">
        <v>0</v>
      </c>
      <c r="H25" s="63">
        <f t="shared" si="0"/>
        <v>0</v>
      </c>
      <c r="I25" s="2">
        <f>H25*(1+'Total Benefit Cost'!$B$5)^(A25-$A$6)</f>
        <v>0</v>
      </c>
    </row>
    <row r="26" spans="1:9" ht="15">
      <c r="A26" s="48">
        <v>2036</v>
      </c>
      <c r="B26" s="57"/>
      <c r="C26" s="42">
        <v>0</v>
      </c>
      <c r="D26" s="44">
        <v>0</v>
      </c>
      <c r="E26" s="54"/>
      <c r="F26" s="42">
        <v>0</v>
      </c>
      <c r="G26" s="60">
        <v>0</v>
      </c>
      <c r="H26" s="63">
        <f t="shared" si="0"/>
        <v>0</v>
      </c>
      <c r="I26" s="2">
        <f>H26*(1+'Total Benefit Cost'!$B$5)^(A26-$A$6)</f>
        <v>0</v>
      </c>
    </row>
    <row r="27" spans="1:9" ht="15">
      <c r="A27" s="48">
        <v>2037</v>
      </c>
      <c r="B27" s="57"/>
      <c r="C27" s="42">
        <v>0</v>
      </c>
      <c r="D27" s="44">
        <v>0</v>
      </c>
      <c r="E27" s="54"/>
      <c r="F27" s="42">
        <v>0</v>
      </c>
      <c r="G27" s="60">
        <v>0</v>
      </c>
      <c r="H27" s="63">
        <f t="shared" si="0"/>
        <v>0</v>
      </c>
      <c r="I27" s="2">
        <f>H27*(1+'Total Benefit Cost'!$B$5)^(A27-$A$6)</f>
        <v>0</v>
      </c>
    </row>
    <row r="28" spans="1:9" ht="15.75" thickBot="1">
      <c r="A28" s="49">
        <v>2038</v>
      </c>
      <c r="B28" s="58"/>
      <c r="C28" s="45">
        <v>0</v>
      </c>
      <c r="D28" s="46">
        <v>0</v>
      </c>
      <c r="E28" s="55"/>
      <c r="F28" s="45">
        <v>0</v>
      </c>
      <c r="G28" s="61">
        <v>0</v>
      </c>
      <c r="H28" s="64">
        <f t="shared" si="0"/>
        <v>0</v>
      </c>
      <c r="I28" s="2">
        <f>H28*(1+'Total Benefit Cost'!$B$5)^(A28-$A$6)</f>
        <v>0</v>
      </c>
    </row>
    <row r="29" spans="1:8" ht="15">
      <c r="A29" s="240" t="s">
        <v>36</v>
      </c>
      <c r="B29" s="240"/>
      <c r="C29" s="240"/>
      <c r="D29" s="240"/>
      <c r="E29" s="240"/>
      <c r="F29" s="240"/>
      <c r="G29" s="240"/>
      <c r="H29" s="240"/>
    </row>
    <row r="30" spans="1:8" ht="15">
      <c r="A30" s="238" t="s">
        <v>109</v>
      </c>
      <c r="B30" s="238"/>
      <c r="C30" s="238"/>
      <c r="D30" s="238"/>
      <c r="E30" s="238"/>
      <c r="F30" s="238"/>
      <c r="G30" s="238"/>
      <c r="H30" s="238"/>
    </row>
    <row r="31" spans="1:8" ht="15">
      <c r="A31" s="282" t="s">
        <v>108</v>
      </c>
      <c r="B31" s="282"/>
      <c r="C31" s="282"/>
      <c r="D31" s="282"/>
      <c r="E31" s="282"/>
      <c r="F31" s="282"/>
      <c r="G31" s="282"/>
      <c r="H31" s="282"/>
    </row>
    <row r="32" spans="1:8" ht="15">
      <c r="A32" s="20"/>
      <c r="B32" s="20"/>
      <c r="C32" s="20"/>
      <c r="D32" s="20"/>
      <c r="E32" s="20"/>
      <c r="F32" s="20"/>
      <c r="G32" s="20"/>
      <c r="H32" s="20"/>
    </row>
    <row r="33" spans="1:8" ht="15">
      <c r="A33" s="20"/>
      <c r="B33" s="20"/>
      <c r="C33" s="20"/>
      <c r="D33" s="20"/>
      <c r="E33" s="20"/>
      <c r="F33" s="20"/>
      <c r="G33" s="20"/>
      <c r="H33" s="20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</sheetData>
  <sheetProtection/>
  <mergeCells count="8">
    <mergeCell ref="A1:H1"/>
    <mergeCell ref="A29:H29"/>
    <mergeCell ref="A30:H30"/>
    <mergeCell ref="A31:H31"/>
    <mergeCell ref="B2:D2"/>
    <mergeCell ref="E2:G2"/>
    <mergeCell ref="H2:H3"/>
    <mergeCell ref="A2:A3"/>
  </mergeCells>
  <printOptions/>
  <pageMargins left="0.7" right="0.7" top="0.75" bottom="0.75" header="0.3" footer="0.3"/>
  <pageSetup orientation="portrait" paperSize="9"/>
  <ignoredErrors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P46" sqref="P46"/>
    </sheetView>
  </sheetViews>
  <sheetFormatPr defaultColWidth="9.140625" defaultRowHeight="15"/>
  <cols>
    <col min="1" max="1" width="9.140625" style="5" customWidth="1"/>
    <col min="2" max="3" width="8.8515625" style="5" customWidth="1"/>
    <col min="4" max="4" width="10.7109375" style="10" customWidth="1"/>
    <col min="5" max="5" width="12.00390625" style="8" customWidth="1"/>
    <col min="6" max="6" width="16.00390625" style="7" customWidth="1"/>
    <col min="7" max="7" width="16.57421875" style="7" customWidth="1"/>
    <col min="8" max="8" width="7.14062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98" t="s">
        <v>40</v>
      </c>
      <c r="B1" s="299"/>
      <c r="C1" s="299"/>
      <c r="D1" s="299"/>
      <c r="E1" s="299"/>
      <c r="F1" s="299"/>
      <c r="G1" s="300"/>
      <c r="H1" s="72"/>
    </row>
    <row r="2" spans="1:8" s="9" customFormat="1" ht="15" customHeight="1">
      <c r="A2" s="296" t="s">
        <v>0</v>
      </c>
      <c r="B2" s="307" t="s">
        <v>29</v>
      </c>
      <c r="C2" s="308"/>
      <c r="D2" s="305" t="s">
        <v>26</v>
      </c>
      <c r="E2" s="305" t="s">
        <v>27</v>
      </c>
      <c r="F2" s="301" t="s">
        <v>42</v>
      </c>
      <c r="G2" s="309" t="s">
        <v>41</v>
      </c>
      <c r="H2" s="303" t="s">
        <v>23</v>
      </c>
    </row>
    <row r="3" spans="1:11" ht="15.75" customHeight="1" thickBot="1">
      <c r="A3" s="297"/>
      <c r="B3" s="65" t="s">
        <v>15</v>
      </c>
      <c r="C3" s="66" t="s">
        <v>16</v>
      </c>
      <c r="D3" s="306"/>
      <c r="E3" s="306"/>
      <c r="F3" s="302"/>
      <c r="G3" s="310"/>
      <c r="H3" s="304"/>
      <c r="K3" s="5"/>
    </row>
    <row r="4" spans="1:11" ht="15">
      <c r="A4" s="30">
        <v>2014</v>
      </c>
      <c r="B4" s="198">
        <f>'ATT 3 - VMT and VHT Estimates'!G10*0.93</f>
        <v>0</v>
      </c>
      <c r="C4" s="199">
        <f>'ATT 3 - VMT and VHT Estimates'!G10*0.07</f>
        <v>0</v>
      </c>
      <c r="D4" s="27">
        <f>'ATT 1 - Costs per Hour and Mile'!$B$7</f>
        <v>14.278000000000002</v>
      </c>
      <c r="E4" s="27">
        <f>'ATT 1 - Costs per Hour and Mile'!$E$7</f>
        <v>28.064897260273973</v>
      </c>
      <c r="F4" s="28">
        <f>B4*D4+C4*E4</f>
        <v>0</v>
      </c>
      <c r="G4" s="37">
        <f>F4*365</f>
        <v>0</v>
      </c>
      <c r="H4" s="2">
        <f>F4*(1+'Total Benefit Cost'!$B$5)^(A4-$A$4)</f>
        <v>0</v>
      </c>
      <c r="K4" s="5"/>
    </row>
    <row r="5" spans="1:11" ht="15">
      <c r="A5" s="31">
        <v>2015</v>
      </c>
      <c r="B5" s="194">
        <f>'ATT 3 - VMT and VHT Estimates'!G11*0.93</f>
        <v>0</v>
      </c>
      <c r="C5" s="195">
        <f>'ATT 3 - VMT and VHT Estimates'!G11*0.07</f>
        <v>0</v>
      </c>
      <c r="D5" s="25">
        <f>'ATT 1 - Costs per Hour and Mile'!$B$7</f>
        <v>14.278000000000002</v>
      </c>
      <c r="E5" s="25">
        <f>'ATT 1 - Costs per Hour and Mile'!$E$7</f>
        <v>28.064897260273973</v>
      </c>
      <c r="F5" s="26">
        <f aca="true" t="shared" si="0" ref="F5:F28">B5*D5+C5*E5</f>
        <v>0</v>
      </c>
      <c r="G5" s="33">
        <f aca="true" t="shared" si="1" ref="G5:G28">F5*365</f>
        <v>0</v>
      </c>
      <c r="H5" s="2"/>
      <c r="K5" s="5"/>
    </row>
    <row r="6" spans="1:11" ht="15">
      <c r="A6" s="31">
        <v>2016</v>
      </c>
      <c r="B6" s="194">
        <f>'ATT 3 - VMT and VHT Estimates'!G12*0.93</f>
        <v>0</v>
      </c>
      <c r="C6" s="195">
        <f>'ATT 3 - VMT and VHT Estimates'!G12*0.07</f>
        <v>0</v>
      </c>
      <c r="D6" s="25">
        <f>'ATT 1 - Costs per Hour and Mile'!$B$7</f>
        <v>14.278000000000002</v>
      </c>
      <c r="E6" s="25">
        <f>'ATT 1 - Costs per Hour and Mile'!$E$7</f>
        <v>28.064897260273973</v>
      </c>
      <c r="F6" s="26">
        <f t="shared" si="0"/>
        <v>0</v>
      </c>
      <c r="G6" s="33">
        <f t="shared" si="1"/>
        <v>0</v>
      </c>
      <c r="H6" s="2"/>
      <c r="K6" s="5"/>
    </row>
    <row r="7" spans="1:11" ht="15">
      <c r="A7" s="31">
        <v>2017</v>
      </c>
      <c r="B7" s="194">
        <f>'ATT 3 - VMT and VHT Estimates'!G13*0.93</f>
        <v>0</v>
      </c>
      <c r="C7" s="195">
        <f>'ATT 3 - VMT and VHT Estimates'!G13*0.07</f>
        <v>0</v>
      </c>
      <c r="D7" s="25">
        <f>'ATT 1 - Costs per Hour and Mile'!$B$7</f>
        <v>14.278000000000002</v>
      </c>
      <c r="E7" s="25">
        <f>'ATT 1 - Costs per Hour and Mile'!$E$7</f>
        <v>28.064897260273973</v>
      </c>
      <c r="F7" s="26">
        <f t="shared" si="0"/>
        <v>0</v>
      </c>
      <c r="G7" s="33">
        <f t="shared" si="1"/>
        <v>0</v>
      </c>
      <c r="H7" s="2"/>
      <c r="K7" s="5"/>
    </row>
    <row r="8" spans="1:11" ht="15">
      <c r="A8" s="31">
        <v>2018</v>
      </c>
      <c r="B8" s="194">
        <f>'ATT 3 - VMT and VHT Estimates'!G14*0.93</f>
        <v>0</v>
      </c>
      <c r="C8" s="195">
        <f>'ATT 3 - VMT and VHT Estimates'!G14*0.07</f>
        <v>0</v>
      </c>
      <c r="D8" s="25">
        <f>'ATT 1 - Costs per Hour and Mile'!$B$7</f>
        <v>14.278000000000002</v>
      </c>
      <c r="E8" s="25">
        <f>'ATT 1 - Costs per Hour and Mile'!$E$7</f>
        <v>28.064897260273973</v>
      </c>
      <c r="F8" s="26">
        <f t="shared" si="0"/>
        <v>0</v>
      </c>
      <c r="G8" s="33">
        <f t="shared" si="1"/>
        <v>0</v>
      </c>
      <c r="H8" s="2"/>
      <c r="K8" s="5"/>
    </row>
    <row r="9" spans="1:11" ht="15">
      <c r="A9" s="31">
        <v>2019</v>
      </c>
      <c r="B9" s="194">
        <f>'ATT 3 - VMT and VHT Estimates'!G15*0.93</f>
        <v>69.58608749999959</v>
      </c>
      <c r="C9" s="195">
        <f>'ATT 3 - VMT and VHT Estimates'!G15*0.07</f>
        <v>5.23766249999997</v>
      </c>
      <c r="D9" s="25">
        <f>'ATT 1 - Costs per Hour and Mile'!$B$7</f>
        <v>14.278000000000002</v>
      </c>
      <c r="E9" s="25">
        <f>'ATT 1 - Costs per Hour and Mile'!$E$7</f>
        <v>28.064897260273973</v>
      </c>
      <c r="F9" s="26">
        <f t="shared" si="0"/>
        <v>1140.5446172714833</v>
      </c>
      <c r="G9" s="33">
        <f t="shared" si="1"/>
        <v>416298.7853040914</v>
      </c>
      <c r="H9" s="2"/>
      <c r="K9" s="5"/>
    </row>
    <row r="10" spans="1:11" ht="15">
      <c r="A10" s="31">
        <v>2020</v>
      </c>
      <c r="B10" s="194">
        <f>'ATT 3 - VMT and VHT Estimates'!G16*0.93</f>
        <v>70.7474250000002</v>
      </c>
      <c r="C10" s="195">
        <f>'ATT 3 - VMT and VHT Estimates'!G16*0.07</f>
        <v>5.325075000000016</v>
      </c>
      <c r="D10" s="25">
        <f>'ATT 1 - Costs per Hour and Mile'!$B$7</f>
        <v>14.278000000000002</v>
      </c>
      <c r="E10" s="25">
        <f>'ATT 1 - Costs per Hour and Mile'!$E$7</f>
        <v>28.064897260273973</v>
      </c>
      <c r="F10" s="26">
        <f t="shared" si="0"/>
        <v>1159.579416928257</v>
      </c>
      <c r="G10" s="33">
        <f t="shared" si="1"/>
        <v>423246.4871788138</v>
      </c>
      <c r="H10" s="2">
        <f>F10*(1+'Total Benefit Cost'!$B$5)^(A10-$A$4)</f>
        <v>1159.579416928257</v>
      </c>
      <c r="J10" s="23"/>
      <c r="K10" s="5"/>
    </row>
    <row r="11" spans="1:11" ht="15">
      <c r="A11" s="31">
        <v>2021</v>
      </c>
      <c r="B11" s="194">
        <f>'ATT 3 - VMT and VHT Estimates'!G17*0.93</f>
        <v>71.90876250000082</v>
      </c>
      <c r="C11" s="195">
        <f>'ATT 3 - VMT and VHT Estimates'!G17*0.07</f>
        <v>5.412487500000061</v>
      </c>
      <c r="D11" s="25">
        <f>'ATT 1 - Costs per Hour and Mile'!$B$7</f>
        <v>14.278000000000002</v>
      </c>
      <c r="E11" s="25">
        <f>'ATT 1 - Costs per Hour and Mile'!$E$7</f>
        <v>28.064897260273973</v>
      </c>
      <c r="F11" s="26">
        <f t="shared" si="0"/>
        <v>1178.6142165850306</v>
      </c>
      <c r="G11" s="33">
        <f t="shared" si="1"/>
        <v>430194.18905353616</v>
      </c>
      <c r="H11" s="2">
        <f>F11*(1+'Total Benefit Cost'!$B$5)^(A11-$A$4)</f>
        <v>1178.6142165850306</v>
      </c>
      <c r="K11" s="5"/>
    </row>
    <row r="12" spans="1:11" ht="15">
      <c r="A12" s="31">
        <v>2022</v>
      </c>
      <c r="B12" s="194">
        <f>'ATT 3 - VMT and VHT Estimates'!G18*0.93</f>
        <v>73.07009999999973</v>
      </c>
      <c r="C12" s="195">
        <f>'ATT 3 - VMT and VHT Estimates'!G18*0.07</f>
        <v>5.49989999999998</v>
      </c>
      <c r="D12" s="25">
        <f>'ATT 1 - Costs per Hour and Mile'!$B$7</f>
        <v>14.278000000000002</v>
      </c>
      <c r="E12" s="25">
        <f>'ATT 1 - Costs per Hour and Mile'!$E$7</f>
        <v>28.064897260273973</v>
      </c>
      <c r="F12" s="26">
        <f t="shared" si="0"/>
        <v>1197.6490162417765</v>
      </c>
      <c r="G12" s="33">
        <f t="shared" si="1"/>
        <v>437141.8909282484</v>
      </c>
      <c r="H12" s="2">
        <f>F12*(1+'Total Benefit Cost'!$B$5)^(A12-$A$4)</f>
        <v>1197.6490162417765</v>
      </c>
      <c r="K12" s="5"/>
    </row>
    <row r="13" spans="1:11" ht="15">
      <c r="A13" s="31">
        <v>2023</v>
      </c>
      <c r="B13" s="194">
        <f>'ATT 3 - VMT and VHT Estimates'!G19*0.93</f>
        <v>74.23143750000034</v>
      </c>
      <c r="C13" s="195">
        <f>'ATT 3 - VMT and VHT Estimates'!G19*0.07</f>
        <v>5.587312500000026</v>
      </c>
      <c r="D13" s="25">
        <f>'ATT 1 - Costs per Hour and Mile'!$B$7</f>
        <v>14.278000000000002</v>
      </c>
      <c r="E13" s="25">
        <f>'ATT 1 - Costs per Hour and Mile'!$E$7</f>
        <v>28.064897260273973</v>
      </c>
      <c r="F13" s="26">
        <f t="shared" si="0"/>
        <v>1216.6838158985502</v>
      </c>
      <c r="G13" s="33">
        <f t="shared" si="1"/>
        <v>444089.5928029708</v>
      </c>
      <c r="H13" s="2">
        <f>F13*(1+'Total Benefit Cost'!$B$5)^(A13-$A$4)</f>
        <v>1216.6838158985502</v>
      </c>
      <c r="K13" s="5"/>
    </row>
    <row r="14" spans="1:11" ht="15">
      <c r="A14" s="31">
        <v>2024</v>
      </c>
      <c r="B14" s="194">
        <f>'ATT 3 - VMT and VHT Estimates'!G20*0.93</f>
        <v>75.39277500000095</v>
      </c>
      <c r="C14" s="195">
        <f>'ATT 3 - VMT and VHT Estimates'!G20*0.07</f>
        <v>5.6747250000000715</v>
      </c>
      <c r="D14" s="25">
        <f>'ATT 1 - Costs per Hour and Mile'!$B$7</f>
        <v>14.278000000000002</v>
      </c>
      <c r="E14" s="25">
        <f>'ATT 1 - Costs per Hour and Mile'!$E$7</f>
        <v>28.064897260273973</v>
      </c>
      <c r="F14" s="26">
        <f t="shared" si="0"/>
        <v>1235.718615555324</v>
      </c>
      <c r="G14" s="33">
        <f t="shared" si="1"/>
        <v>451037.2946776933</v>
      </c>
      <c r="H14" s="2">
        <f>F14*(1+'Total Benefit Cost'!$B$5)^(A14-$A$4)</f>
        <v>1235.718615555324</v>
      </c>
      <c r="K14" s="5"/>
    </row>
    <row r="15" spans="1:11" ht="15">
      <c r="A15" s="31">
        <v>2025</v>
      </c>
      <c r="B15" s="194">
        <f>'ATT 3 - VMT and VHT Estimates'!G21*0.93</f>
        <v>76.55411249999987</v>
      </c>
      <c r="C15" s="195">
        <f>'ATT 3 - VMT and VHT Estimates'!G21*0.07</f>
        <v>5.76213749999999</v>
      </c>
      <c r="D15" s="25">
        <f>'ATT 1 - Costs per Hour and Mile'!$B$7</f>
        <v>14.278000000000002</v>
      </c>
      <c r="E15" s="25">
        <f>'ATT 1 - Costs per Hour and Mile'!$E$7</f>
        <v>28.064897260273973</v>
      </c>
      <c r="F15" s="26">
        <f t="shared" si="0"/>
        <v>1254.7534152120702</v>
      </c>
      <c r="G15" s="33">
        <f t="shared" si="1"/>
        <v>457984.99655240565</v>
      </c>
      <c r="H15" s="2">
        <f>F15*(1+'Total Benefit Cost'!$B$5)^(A15-$A$4)</f>
        <v>1254.7534152120702</v>
      </c>
      <c r="K15" s="5"/>
    </row>
    <row r="16" spans="1:11" ht="15">
      <c r="A16" s="31">
        <v>2026</v>
      </c>
      <c r="B16" s="194">
        <f>'ATT 3 - VMT and VHT Estimates'!G22*0.93</f>
        <v>77.71545000000047</v>
      </c>
      <c r="C16" s="195">
        <f>'ATT 3 - VMT and VHT Estimates'!G22*0.07</f>
        <v>5.849550000000036</v>
      </c>
      <c r="D16" s="25">
        <f>'ATT 1 - Costs per Hour and Mile'!$B$7</f>
        <v>14.278000000000002</v>
      </c>
      <c r="E16" s="25">
        <f>'ATT 1 - Costs per Hour and Mile'!$E$7</f>
        <v>28.064897260273973</v>
      </c>
      <c r="F16" s="26">
        <f t="shared" si="0"/>
        <v>1273.7882148688434</v>
      </c>
      <c r="G16" s="33">
        <f t="shared" si="1"/>
        <v>464932.69842712785</v>
      </c>
      <c r="H16" s="2">
        <f>F16*(1+'Total Benefit Cost'!$B$5)^(A16-$A$4)</f>
        <v>1273.7882148688434</v>
      </c>
      <c r="K16" s="5"/>
    </row>
    <row r="17" spans="1:11" ht="15">
      <c r="A17" s="31">
        <v>2027</v>
      </c>
      <c r="B17" s="194">
        <f>'ATT 3 - VMT and VHT Estimates'!G23*0.93</f>
        <v>78.87678750000109</v>
      </c>
      <c r="C17" s="195">
        <f>'ATT 3 - VMT and VHT Estimates'!G23*0.07</f>
        <v>5.936962500000082</v>
      </c>
      <c r="D17" s="25">
        <f>'ATT 1 - Costs per Hour and Mile'!$B$7</f>
        <v>14.278000000000002</v>
      </c>
      <c r="E17" s="25">
        <f>'ATT 1 - Costs per Hour and Mile'!$E$7</f>
        <v>28.064897260273973</v>
      </c>
      <c r="F17" s="26">
        <f t="shared" si="0"/>
        <v>1292.8230145256173</v>
      </c>
      <c r="G17" s="33">
        <f t="shared" si="1"/>
        <v>471880.4003018503</v>
      </c>
      <c r="H17" s="2">
        <f>F17*(1+'Total Benefit Cost'!$B$5)^(A17-$A$4)</f>
        <v>1292.8230145256173</v>
      </c>
      <c r="K17" s="5"/>
    </row>
    <row r="18" spans="1:11" ht="15">
      <c r="A18" s="31">
        <v>2028</v>
      </c>
      <c r="B18" s="194">
        <f>'ATT 3 - VMT and VHT Estimates'!G24*0.93</f>
        <v>80.03812500000001</v>
      </c>
      <c r="C18" s="195">
        <f>'ATT 3 - VMT and VHT Estimates'!G24*0.07</f>
        <v>6.024375000000001</v>
      </c>
      <c r="D18" s="25">
        <f>'ATT 1 - Costs per Hour and Mile'!$B$7</f>
        <v>14.278000000000002</v>
      </c>
      <c r="E18" s="25">
        <f>'ATT 1 - Costs per Hour and Mile'!$E$7</f>
        <v>28.064897260273973</v>
      </c>
      <c r="F18" s="26">
        <f t="shared" si="0"/>
        <v>1311.8578141823634</v>
      </c>
      <c r="G18" s="33">
        <f t="shared" si="1"/>
        <v>478828.10217656265</v>
      </c>
      <c r="H18" s="2">
        <f>F18*(1+'Total Benefit Cost'!$B$5)^(A18-$A$4)</f>
        <v>1311.8578141823634</v>
      </c>
      <c r="K18" s="5"/>
    </row>
    <row r="19" spans="1:11" ht="15">
      <c r="A19" s="31">
        <v>2029</v>
      </c>
      <c r="B19" s="194">
        <f>'ATT 3 - VMT and VHT Estimates'!G25*0.93</f>
        <v>81.1994625000006</v>
      </c>
      <c r="C19" s="195">
        <f>'ATT 3 - VMT and VHT Estimates'!G25*0.07</f>
        <v>6.111787500000046</v>
      </c>
      <c r="D19" s="25">
        <f>'ATT 1 - Costs per Hour and Mile'!$B$7</f>
        <v>14.278000000000002</v>
      </c>
      <c r="E19" s="25">
        <f>'ATT 1 - Costs per Hour and Mile'!$E$7</f>
        <v>28.064897260273973</v>
      </c>
      <c r="F19" s="26">
        <f t="shared" si="0"/>
        <v>1330.8926138391369</v>
      </c>
      <c r="G19" s="33">
        <f t="shared" si="1"/>
        <v>485775.80405128497</v>
      </c>
      <c r="H19" s="2">
        <f>F19*(1+'Total Benefit Cost'!$B$5)^(A19-$A$4)</f>
        <v>1330.8926138391369</v>
      </c>
      <c r="K19" s="5"/>
    </row>
    <row r="20" spans="1:11" ht="15">
      <c r="A20" s="31">
        <v>2030</v>
      </c>
      <c r="B20" s="194">
        <f>'ATT 3 - VMT and VHT Estimates'!G26*0.93</f>
        <v>82.36079999999953</v>
      </c>
      <c r="C20" s="195">
        <f>'ATT 3 - VMT and VHT Estimates'!G26*0.07</f>
        <v>6.199199999999965</v>
      </c>
      <c r="D20" s="25">
        <f>'ATT 1 - Costs per Hour and Mile'!$B$7</f>
        <v>14.278000000000002</v>
      </c>
      <c r="E20" s="25">
        <f>'ATT 1 - Costs per Hour and Mile'!$E$7</f>
        <v>28.064897260273973</v>
      </c>
      <c r="F20" s="26">
        <f t="shared" si="0"/>
        <v>1349.927413495883</v>
      </c>
      <c r="G20" s="33">
        <f t="shared" si="1"/>
        <v>492723.5059259973</v>
      </c>
      <c r="H20" s="2">
        <f>F20*(1+'Total Benefit Cost'!$B$5)^(A20-$A$4)</f>
        <v>1349.927413495883</v>
      </c>
      <c r="K20" s="5"/>
    </row>
    <row r="21" spans="1:11" ht="15">
      <c r="A21" s="31">
        <v>2031</v>
      </c>
      <c r="B21" s="194">
        <f>'ATT 3 - VMT and VHT Estimates'!G27*0.93</f>
        <v>83.52213750000014</v>
      </c>
      <c r="C21" s="195">
        <f>'ATT 3 - VMT and VHT Estimates'!G27*0.07</f>
        <v>6.286612500000011</v>
      </c>
      <c r="D21" s="25">
        <f>'ATT 1 - Costs per Hour and Mile'!$B$7</f>
        <v>14.278000000000002</v>
      </c>
      <c r="E21" s="25">
        <f>'ATT 1 - Costs per Hour and Mile'!$E$7</f>
        <v>28.064897260273973</v>
      </c>
      <c r="F21" s="26">
        <f t="shared" si="0"/>
        <v>1368.9622131526567</v>
      </c>
      <c r="G21" s="33">
        <f t="shared" si="1"/>
        <v>499671.20780071965</v>
      </c>
      <c r="H21" s="2">
        <f>F21*(1+'Total Benefit Cost'!$B$5)^(A21-$A$4)</f>
        <v>1368.9622131526567</v>
      </c>
      <c r="K21" s="5"/>
    </row>
    <row r="22" spans="1:11" ht="15">
      <c r="A22" s="31">
        <v>2032</v>
      </c>
      <c r="B22" s="194">
        <f>'ATT 3 - VMT and VHT Estimates'!G28*0.93</f>
        <v>84.68347500000075</v>
      </c>
      <c r="C22" s="195">
        <f>'ATT 3 - VMT and VHT Estimates'!G28*0.07</f>
        <v>6.3740250000000565</v>
      </c>
      <c r="D22" s="25">
        <f>'ATT 1 - Costs per Hour and Mile'!$B$7</f>
        <v>14.278000000000002</v>
      </c>
      <c r="E22" s="25">
        <f>'ATT 1 - Costs per Hour and Mile'!$E$7</f>
        <v>28.064897260273973</v>
      </c>
      <c r="F22" s="26">
        <f t="shared" si="0"/>
        <v>1387.9970128094303</v>
      </c>
      <c r="G22" s="33">
        <f t="shared" si="1"/>
        <v>506618.9096754421</v>
      </c>
      <c r="H22" s="2">
        <f>F22*(1+'Total Benefit Cost'!$B$5)^(A22-$A$4)</f>
        <v>1387.9970128094303</v>
      </c>
      <c r="K22" s="5"/>
    </row>
    <row r="23" spans="1:11" ht="15">
      <c r="A23" s="31">
        <v>2033</v>
      </c>
      <c r="B23" s="194">
        <f>'ATT 3 - VMT and VHT Estimates'!G29*0.93</f>
        <v>85.84481249999966</v>
      </c>
      <c r="C23" s="195">
        <f>'ATT 3 - VMT and VHT Estimates'!G29*0.07</f>
        <v>6.461437499999975</v>
      </c>
      <c r="D23" s="25">
        <f>'ATT 1 - Costs per Hour and Mile'!$B$7</f>
        <v>14.278000000000002</v>
      </c>
      <c r="E23" s="25">
        <f>'ATT 1 - Costs per Hour and Mile'!$E$7</f>
        <v>28.064897260273973</v>
      </c>
      <c r="F23" s="26">
        <f t="shared" si="0"/>
        <v>1407.0318124661762</v>
      </c>
      <c r="G23" s="33">
        <f t="shared" si="1"/>
        <v>513566.61155015434</v>
      </c>
      <c r="H23" s="2">
        <f>F23*(1+'Total Benefit Cost'!$B$5)^(A23-$A$4)</f>
        <v>1407.0318124661762</v>
      </c>
      <c r="K23" s="5"/>
    </row>
    <row r="24" spans="1:11" ht="15">
      <c r="A24" s="31">
        <v>2034</v>
      </c>
      <c r="B24" s="194">
        <f>'ATT 3 - VMT and VHT Estimates'!G30*0.93</f>
        <v>87.00615000000028</v>
      </c>
      <c r="C24" s="195">
        <f>'ATT 3 - VMT and VHT Estimates'!G30*0.07</f>
        <v>6.548850000000021</v>
      </c>
      <c r="D24" s="25">
        <f>'ATT 1 - Costs per Hour and Mile'!$B$7</f>
        <v>14.278000000000002</v>
      </c>
      <c r="E24" s="25">
        <f>'ATT 1 - Costs per Hour and Mile'!$E$7</f>
        <v>28.064897260273973</v>
      </c>
      <c r="F24" s="26">
        <f t="shared" si="0"/>
        <v>1426.0666121229501</v>
      </c>
      <c r="G24" s="33">
        <f t="shared" si="1"/>
        <v>520514.3134248768</v>
      </c>
      <c r="H24" s="2">
        <f>F24*(1+'Total Benefit Cost'!$B$5)^(A24-$A$4)</f>
        <v>1426.0666121229501</v>
      </c>
      <c r="K24" s="5"/>
    </row>
    <row r="25" spans="1:11" ht="15">
      <c r="A25" s="31">
        <v>2035</v>
      </c>
      <c r="B25" s="194">
        <f>'ATT 3 - VMT and VHT Estimates'!G31*0.93</f>
        <v>88.16748750000089</v>
      </c>
      <c r="C25" s="195">
        <f>'ATT 3 - VMT and VHT Estimates'!G31*0.07</f>
        <v>6.636262500000067</v>
      </c>
      <c r="D25" s="25">
        <f>'ATT 1 - Costs per Hour and Mile'!$B$7</f>
        <v>14.278000000000002</v>
      </c>
      <c r="E25" s="25">
        <f>'ATT 1 - Costs per Hour and Mile'!$E$7</f>
        <v>28.064897260273973</v>
      </c>
      <c r="F25" s="26">
        <f t="shared" si="0"/>
        <v>1445.1014117797235</v>
      </c>
      <c r="G25" s="33">
        <f t="shared" si="1"/>
        <v>527462.0152995992</v>
      </c>
      <c r="H25" s="2">
        <f>F25*(1+'Total Benefit Cost'!$B$5)^(A25-$A$4)</f>
        <v>1445.1014117797235</v>
      </c>
      <c r="K25" s="5"/>
    </row>
    <row r="26" spans="1:11" ht="15">
      <c r="A26" s="31">
        <v>2036</v>
      </c>
      <c r="B26" s="194">
        <f>'ATT 3 - VMT and VHT Estimates'!G32*0.93</f>
        <v>89.3288249999998</v>
      </c>
      <c r="C26" s="195">
        <f>'ATT 3 - VMT and VHT Estimates'!G32*0.07</f>
        <v>6.723674999999985</v>
      </c>
      <c r="D26" s="25">
        <f>'ATT 1 - Costs per Hour and Mile'!$B$7</f>
        <v>14.278000000000002</v>
      </c>
      <c r="E26" s="25">
        <f>'ATT 1 - Costs per Hour and Mile'!$E$7</f>
        <v>28.064897260273973</v>
      </c>
      <c r="F26" s="26">
        <f t="shared" si="0"/>
        <v>1464.1362114364695</v>
      </c>
      <c r="G26" s="33">
        <f t="shared" si="1"/>
        <v>534409.7171743114</v>
      </c>
      <c r="H26" s="2">
        <f>F26*(1+'Total Benefit Cost'!$B$5)^(A26-$A$4)</f>
        <v>1464.1362114364695</v>
      </c>
      <c r="K26" s="5"/>
    </row>
    <row r="27" spans="1:11" ht="15">
      <c r="A27" s="31">
        <v>2037</v>
      </c>
      <c r="B27" s="194">
        <f>'ATT 3 - VMT and VHT Estimates'!G33*0.93</f>
        <v>90.49016250000041</v>
      </c>
      <c r="C27" s="195">
        <f>'ATT 3 - VMT and VHT Estimates'!G33*0.07</f>
        <v>6.811087500000031</v>
      </c>
      <c r="D27" s="25">
        <f>'ATT 1 - Costs per Hour and Mile'!$B$7</f>
        <v>14.278000000000002</v>
      </c>
      <c r="E27" s="25">
        <f>'ATT 1 - Costs per Hour and Mile'!$E$7</f>
        <v>28.064897260273973</v>
      </c>
      <c r="F27" s="26">
        <f t="shared" si="0"/>
        <v>1483.1710110932434</v>
      </c>
      <c r="G27" s="33">
        <f t="shared" si="1"/>
        <v>541357.4190490338</v>
      </c>
      <c r="H27" s="2">
        <f>F27*(1+'Total Benefit Cost'!$B$5)^(A27-$A$4)</f>
        <v>1483.1710110932434</v>
      </c>
      <c r="K27" s="5"/>
    </row>
    <row r="28" spans="1:11" ht="15.75" thickBot="1">
      <c r="A28" s="32">
        <v>2038</v>
      </c>
      <c r="B28" s="196">
        <f>'ATT 3 - VMT and VHT Estimates'!G34*0.93</f>
        <v>91.65150000000102</v>
      </c>
      <c r="C28" s="197">
        <f>'ATT 3 - VMT and VHT Estimates'!G34*0.07</f>
        <v>6.898500000000077</v>
      </c>
      <c r="D28" s="34">
        <f>'ATT 1 - Costs per Hour and Mile'!$B$7</f>
        <v>14.278000000000002</v>
      </c>
      <c r="E28" s="34">
        <f>'ATT 1 - Costs per Hour and Mile'!$E$7</f>
        <v>28.064897260273973</v>
      </c>
      <c r="F28" s="35">
        <f t="shared" si="0"/>
        <v>1502.205810750017</v>
      </c>
      <c r="G28" s="36">
        <f t="shared" si="1"/>
        <v>548305.1209237562</v>
      </c>
      <c r="H28" s="2">
        <f>F28*(1+'Total Benefit Cost'!$B$5)^(A28-$A$4)</f>
        <v>1502.205810750017</v>
      </c>
      <c r="K28" s="5"/>
    </row>
    <row r="29" spans="1:7" ht="12.75">
      <c r="A29" s="295" t="s">
        <v>134</v>
      </c>
      <c r="B29" s="295"/>
      <c r="C29" s="295"/>
      <c r="D29" s="295"/>
      <c r="E29" s="295"/>
      <c r="F29" s="295"/>
      <c r="G29" s="295"/>
    </row>
    <row r="30" ht="12.75">
      <c r="A30" s="24"/>
    </row>
  </sheetData>
  <sheetProtection/>
  <mergeCells count="9">
    <mergeCell ref="A29:G29"/>
    <mergeCell ref="A2:A3"/>
    <mergeCell ref="A1:G1"/>
    <mergeCell ref="F2:F3"/>
    <mergeCell ref="H2:H3"/>
    <mergeCell ref="D2:D3"/>
    <mergeCell ref="E2:E3"/>
    <mergeCell ref="B2:C2"/>
    <mergeCell ref="G2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G29"/>
    </sheetView>
  </sheetViews>
  <sheetFormatPr defaultColWidth="9.140625" defaultRowHeight="15"/>
  <cols>
    <col min="1" max="1" width="9.140625" style="5" customWidth="1"/>
    <col min="2" max="3" width="8.8515625" style="5" customWidth="1"/>
    <col min="4" max="4" width="10.7109375" style="10" customWidth="1"/>
    <col min="5" max="5" width="12.00390625" style="8" customWidth="1"/>
    <col min="6" max="6" width="16.00390625" style="7" customWidth="1"/>
    <col min="7" max="7" width="16.57421875" style="7" customWidth="1"/>
    <col min="8" max="8" width="17.5742187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98" t="s">
        <v>39</v>
      </c>
      <c r="B1" s="299"/>
      <c r="C1" s="299"/>
      <c r="D1" s="299"/>
      <c r="E1" s="299"/>
      <c r="F1" s="299"/>
      <c r="G1" s="300"/>
      <c r="H1" s="72"/>
    </row>
    <row r="2" spans="1:8" s="9" customFormat="1" ht="15" customHeight="1">
      <c r="A2" s="311" t="s">
        <v>0</v>
      </c>
      <c r="B2" s="313" t="s">
        <v>34</v>
      </c>
      <c r="C2" s="314"/>
      <c r="D2" s="315" t="s">
        <v>18</v>
      </c>
      <c r="E2" s="317" t="s">
        <v>17</v>
      </c>
      <c r="F2" s="319" t="s">
        <v>30</v>
      </c>
      <c r="G2" s="321" t="s">
        <v>31</v>
      </c>
      <c r="H2" s="303" t="s">
        <v>23</v>
      </c>
    </row>
    <row r="3" spans="1:11" ht="15" customHeight="1" thickBot="1">
      <c r="A3" s="312"/>
      <c r="B3" s="65" t="s">
        <v>15</v>
      </c>
      <c r="C3" s="177" t="s">
        <v>16</v>
      </c>
      <c r="D3" s="316"/>
      <c r="E3" s="318"/>
      <c r="F3" s="320"/>
      <c r="G3" s="310"/>
      <c r="H3" s="304"/>
      <c r="K3" s="5"/>
    </row>
    <row r="4" spans="1:11" ht="15">
      <c r="A4" s="38">
        <v>2014</v>
      </c>
      <c r="B4" s="29">
        <f>'ATT 3 - VMT and VHT Estimates'!D10*0.93</f>
        <v>0</v>
      </c>
      <c r="C4" s="178">
        <f>'ATT 3 - VMT and VHT Estimates'!D10*0.07</f>
        <v>0</v>
      </c>
      <c r="D4" s="169">
        <f>'ATT 1 - Costs per Hour and Mile'!$B$24</f>
        <v>0.39847660792619155</v>
      </c>
      <c r="E4" s="170">
        <f>'ATT 1 - Costs per Hour and Mile'!$E$24</f>
        <v>0.9414229371126224</v>
      </c>
      <c r="F4" s="179">
        <f>B4*D4+C4*E4</f>
        <v>0</v>
      </c>
      <c r="G4" s="37">
        <f>F4*365</f>
        <v>0</v>
      </c>
      <c r="H4" s="2">
        <f>F4*(1+'Total Benefit Cost'!$B$5)^(A4-$A$4)</f>
        <v>0</v>
      </c>
      <c r="K4" s="5"/>
    </row>
    <row r="5" spans="1:11" ht="15">
      <c r="A5" s="39">
        <v>2015</v>
      </c>
      <c r="B5" s="200">
        <f>'ATT 3 - VMT and VHT Estimates'!D11*0.93</f>
        <v>0</v>
      </c>
      <c r="C5" s="201">
        <f>'ATT 3 - VMT and VHT Estimates'!D11*0.07</f>
        <v>0</v>
      </c>
      <c r="D5" s="182">
        <f>'ATT 1 - Costs per Hour and Mile'!$B$24</f>
        <v>0.39847660792619155</v>
      </c>
      <c r="E5" s="183">
        <f>'ATT 1 - Costs per Hour and Mile'!$E$24</f>
        <v>0.9414229371126224</v>
      </c>
      <c r="F5" s="180">
        <f aca="true" t="shared" si="0" ref="F5:F28">B5*D5+C5*E5</f>
        <v>0</v>
      </c>
      <c r="G5" s="33">
        <f aca="true" t="shared" si="1" ref="G5:G28">F5*365</f>
        <v>0</v>
      </c>
      <c r="H5" s="2"/>
      <c r="K5" s="5"/>
    </row>
    <row r="6" spans="1:11" ht="15">
      <c r="A6" s="39">
        <v>2016</v>
      </c>
      <c r="B6" s="200">
        <f>'ATT 3 - VMT and VHT Estimates'!D12*0.93</f>
        <v>0</v>
      </c>
      <c r="C6" s="201">
        <f>'ATT 3 - VMT and VHT Estimates'!D12*0.07</f>
        <v>0</v>
      </c>
      <c r="D6" s="182">
        <f>'ATT 1 - Costs per Hour and Mile'!$B$24</f>
        <v>0.39847660792619155</v>
      </c>
      <c r="E6" s="183">
        <f>'ATT 1 - Costs per Hour and Mile'!$E$24</f>
        <v>0.9414229371126224</v>
      </c>
      <c r="F6" s="180">
        <f t="shared" si="0"/>
        <v>0</v>
      </c>
      <c r="G6" s="33">
        <f t="shared" si="1"/>
        <v>0</v>
      </c>
      <c r="H6" s="2"/>
      <c r="K6" s="5"/>
    </row>
    <row r="7" spans="1:11" ht="15">
      <c r="A7" s="39">
        <v>2017</v>
      </c>
      <c r="B7" s="200">
        <f>'ATT 3 - VMT and VHT Estimates'!D13*0.93</f>
        <v>0</v>
      </c>
      <c r="C7" s="201">
        <f>'ATT 3 - VMT and VHT Estimates'!D13*0.07</f>
        <v>0</v>
      </c>
      <c r="D7" s="182">
        <f>'ATT 1 - Costs per Hour and Mile'!$B$24</f>
        <v>0.39847660792619155</v>
      </c>
      <c r="E7" s="183">
        <f>'ATT 1 - Costs per Hour and Mile'!$E$24</f>
        <v>0.9414229371126224</v>
      </c>
      <c r="F7" s="180">
        <f t="shared" si="0"/>
        <v>0</v>
      </c>
      <c r="G7" s="33">
        <f t="shared" si="1"/>
        <v>0</v>
      </c>
      <c r="H7" s="2"/>
      <c r="K7" s="5"/>
    </row>
    <row r="8" spans="1:11" ht="15">
      <c r="A8" s="39">
        <v>2018</v>
      </c>
      <c r="B8" s="200">
        <f>'ATT 3 - VMT and VHT Estimates'!D14*0.93</f>
        <v>0</v>
      </c>
      <c r="C8" s="201">
        <f>'ATT 3 - VMT and VHT Estimates'!D14*0.07</f>
        <v>0</v>
      </c>
      <c r="D8" s="182">
        <f>'ATT 1 - Costs per Hour and Mile'!$B$24</f>
        <v>0.39847660792619155</v>
      </c>
      <c r="E8" s="183">
        <f>'ATT 1 - Costs per Hour and Mile'!$E$24</f>
        <v>0.9414229371126224</v>
      </c>
      <c r="F8" s="180">
        <f t="shared" si="0"/>
        <v>0</v>
      </c>
      <c r="G8" s="33">
        <f t="shared" si="1"/>
        <v>0</v>
      </c>
      <c r="H8" s="2"/>
      <c r="K8" s="5"/>
    </row>
    <row r="9" spans="1:11" ht="15">
      <c r="A9" s="39">
        <v>2019</v>
      </c>
      <c r="B9" s="200">
        <f>'ATT 3 - VMT and VHT Estimates'!D15*0.93</f>
        <v>0</v>
      </c>
      <c r="C9" s="201">
        <f>'ATT 3 - VMT and VHT Estimates'!D15*0.07</f>
        <v>0</v>
      </c>
      <c r="D9" s="182">
        <f>'ATT 1 - Costs per Hour and Mile'!$B$24</f>
        <v>0.39847660792619155</v>
      </c>
      <c r="E9" s="183">
        <f>'ATT 1 - Costs per Hour and Mile'!$E$24</f>
        <v>0.9414229371126224</v>
      </c>
      <c r="F9" s="180">
        <f t="shared" si="0"/>
        <v>0</v>
      </c>
      <c r="G9" s="33">
        <f t="shared" si="1"/>
        <v>0</v>
      </c>
      <c r="H9" s="2"/>
      <c r="K9" s="5"/>
    </row>
    <row r="10" spans="1:11" ht="15">
      <c r="A10" s="39">
        <v>2020</v>
      </c>
      <c r="B10" s="200">
        <f>'ATT 3 - VMT and VHT Estimates'!D16*0.93</f>
        <v>0</v>
      </c>
      <c r="C10" s="201">
        <f>'ATT 3 - VMT and VHT Estimates'!D16*0.07</f>
        <v>0</v>
      </c>
      <c r="D10" s="182">
        <f>'ATT 1 - Costs per Hour and Mile'!$B$24</f>
        <v>0.39847660792619155</v>
      </c>
      <c r="E10" s="183">
        <f>'ATT 1 - Costs per Hour and Mile'!$E$24</f>
        <v>0.9414229371126224</v>
      </c>
      <c r="F10" s="180">
        <f t="shared" si="0"/>
        <v>0</v>
      </c>
      <c r="G10" s="33">
        <f t="shared" si="1"/>
        <v>0</v>
      </c>
      <c r="H10" s="2">
        <f>F10*(1+'Total Benefit Cost'!$B$5)^(A10-$A$4)</f>
        <v>0</v>
      </c>
      <c r="K10" s="5"/>
    </row>
    <row r="11" spans="1:11" ht="15">
      <c r="A11" s="39">
        <v>2021</v>
      </c>
      <c r="B11" s="200">
        <f>'ATT 3 - VMT and VHT Estimates'!D17*0.93</f>
        <v>0</v>
      </c>
      <c r="C11" s="201">
        <f>'ATT 3 - VMT and VHT Estimates'!D17*0.07</f>
        <v>0</v>
      </c>
      <c r="D11" s="182">
        <f>'ATT 1 - Costs per Hour and Mile'!$B$24</f>
        <v>0.39847660792619155</v>
      </c>
      <c r="E11" s="183">
        <f>'ATT 1 - Costs per Hour and Mile'!$E$24</f>
        <v>0.9414229371126224</v>
      </c>
      <c r="F11" s="180">
        <f t="shared" si="0"/>
        <v>0</v>
      </c>
      <c r="G11" s="33">
        <f t="shared" si="1"/>
        <v>0</v>
      </c>
      <c r="H11" s="2">
        <f>F11*(1+'Total Benefit Cost'!$B$5)^(A11-$A$4)</f>
        <v>0</v>
      </c>
      <c r="K11" s="5"/>
    </row>
    <row r="12" spans="1:11" ht="15">
      <c r="A12" s="39">
        <v>2022</v>
      </c>
      <c r="B12" s="200">
        <f>'ATT 3 - VMT and VHT Estimates'!D18*0.93</f>
        <v>0</v>
      </c>
      <c r="C12" s="201">
        <f>'ATT 3 - VMT and VHT Estimates'!D18*0.07</f>
        <v>0</v>
      </c>
      <c r="D12" s="182">
        <f>'ATT 1 - Costs per Hour and Mile'!$B$24</f>
        <v>0.39847660792619155</v>
      </c>
      <c r="E12" s="183">
        <f>'ATT 1 - Costs per Hour and Mile'!$E$24</f>
        <v>0.9414229371126224</v>
      </c>
      <c r="F12" s="180">
        <f t="shared" si="0"/>
        <v>0</v>
      </c>
      <c r="G12" s="33">
        <f t="shared" si="1"/>
        <v>0</v>
      </c>
      <c r="H12" s="2">
        <f>F12*(1+'Total Benefit Cost'!$B$5)^(A12-$A$4)</f>
        <v>0</v>
      </c>
      <c r="K12" s="5"/>
    </row>
    <row r="13" spans="1:11" ht="15">
      <c r="A13" s="39">
        <v>2023</v>
      </c>
      <c r="B13" s="200">
        <f>'ATT 3 - VMT and VHT Estimates'!D19*0.93</f>
        <v>0</v>
      </c>
      <c r="C13" s="201">
        <f>'ATT 3 - VMT and VHT Estimates'!D19*0.07</f>
        <v>0</v>
      </c>
      <c r="D13" s="182">
        <f>'ATT 1 - Costs per Hour and Mile'!$B$24</f>
        <v>0.39847660792619155</v>
      </c>
      <c r="E13" s="183">
        <f>'ATT 1 - Costs per Hour and Mile'!$E$24</f>
        <v>0.9414229371126224</v>
      </c>
      <c r="F13" s="180">
        <f t="shared" si="0"/>
        <v>0</v>
      </c>
      <c r="G13" s="33">
        <f t="shared" si="1"/>
        <v>0</v>
      </c>
      <c r="H13" s="2">
        <f>F13*(1+'Total Benefit Cost'!$B$5)^(A13-$A$4)</f>
        <v>0</v>
      </c>
      <c r="K13" s="5"/>
    </row>
    <row r="14" spans="1:11" ht="15">
      <c r="A14" s="39">
        <v>2024</v>
      </c>
      <c r="B14" s="200">
        <f>'ATT 3 - VMT and VHT Estimates'!D20*0.93</f>
        <v>0</v>
      </c>
      <c r="C14" s="201">
        <f>'ATT 3 - VMT and VHT Estimates'!D20*0.07</f>
        <v>0</v>
      </c>
      <c r="D14" s="182">
        <f>'ATT 1 - Costs per Hour and Mile'!$B$24</f>
        <v>0.39847660792619155</v>
      </c>
      <c r="E14" s="183">
        <f>'ATT 1 - Costs per Hour and Mile'!$E$24</f>
        <v>0.9414229371126224</v>
      </c>
      <c r="F14" s="180">
        <f t="shared" si="0"/>
        <v>0</v>
      </c>
      <c r="G14" s="33">
        <f t="shared" si="1"/>
        <v>0</v>
      </c>
      <c r="H14" s="2">
        <f>F14*(1+'Total Benefit Cost'!$B$5)^(A14-$A$4)</f>
        <v>0</v>
      </c>
      <c r="K14" s="5"/>
    </row>
    <row r="15" spans="1:11" ht="15">
      <c r="A15" s="39">
        <v>2025</v>
      </c>
      <c r="B15" s="200">
        <f>'ATT 3 - VMT and VHT Estimates'!D21*0.93</f>
        <v>0</v>
      </c>
      <c r="C15" s="201">
        <f>'ATT 3 - VMT and VHT Estimates'!D21*0.07</f>
        <v>0</v>
      </c>
      <c r="D15" s="182">
        <f>'ATT 1 - Costs per Hour and Mile'!$B$24</f>
        <v>0.39847660792619155</v>
      </c>
      <c r="E15" s="183">
        <f>'ATT 1 - Costs per Hour and Mile'!$E$24</f>
        <v>0.9414229371126224</v>
      </c>
      <c r="F15" s="180">
        <f t="shared" si="0"/>
        <v>0</v>
      </c>
      <c r="G15" s="33">
        <f t="shared" si="1"/>
        <v>0</v>
      </c>
      <c r="H15" s="2">
        <f>F15*(1+'Total Benefit Cost'!$B$5)^(A15-$A$4)</f>
        <v>0</v>
      </c>
      <c r="K15" s="5"/>
    </row>
    <row r="16" spans="1:11" ht="15">
      <c r="A16" s="39">
        <v>2026</v>
      </c>
      <c r="B16" s="200">
        <f>'ATT 3 - VMT and VHT Estimates'!D22*0.93</f>
        <v>0</v>
      </c>
      <c r="C16" s="201">
        <f>'ATT 3 - VMT and VHT Estimates'!D22*0.07</f>
        <v>0</v>
      </c>
      <c r="D16" s="182">
        <f>'ATT 1 - Costs per Hour and Mile'!$B$24</f>
        <v>0.39847660792619155</v>
      </c>
      <c r="E16" s="183">
        <f>'ATT 1 - Costs per Hour and Mile'!$E$24</f>
        <v>0.9414229371126224</v>
      </c>
      <c r="F16" s="180">
        <f t="shared" si="0"/>
        <v>0</v>
      </c>
      <c r="G16" s="33">
        <f t="shared" si="1"/>
        <v>0</v>
      </c>
      <c r="H16" s="2">
        <f>F16*(1+'Total Benefit Cost'!$B$5)^(A16-$A$4)</f>
        <v>0</v>
      </c>
      <c r="K16" s="5"/>
    </row>
    <row r="17" spans="1:11" ht="15">
      <c r="A17" s="39">
        <v>2027</v>
      </c>
      <c r="B17" s="200">
        <f>'ATT 3 - VMT and VHT Estimates'!D23*0.93</f>
        <v>0</v>
      </c>
      <c r="C17" s="201">
        <f>'ATT 3 - VMT and VHT Estimates'!D23*0.07</f>
        <v>0</v>
      </c>
      <c r="D17" s="182">
        <f>'ATT 1 - Costs per Hour and Mile'!$B$24</f>
        <v>0.39847660792619155</v>
      </c>
      <c r="E17" s="183">
        <f>'ATT 1 - Costs per Hour and Mile'!$E$24</f>
        <v>0.9414229371126224</v>
      </c>
      <c r="F17" s="180">
        <f t="shared" si="0"/>
        <v>0</v>
      </c>
      <c r="G17" s="33">
        <f t="shared" si="1"/>
        <v>0</v>
      </c>
      <c r="H17" s="2">
        <f>F17*(1+'Total Benefit Cost'!$B$5)^(A17-$A$4)</f>
        <v>0</v>
      </c>
      <c r="K17" s="5"/>
    </row>
    <row r="18" spans="1:11" ht="15">
      <c r="A18" s="39">
        <v>2028</v>
      </c>
      <c r="B18" s="200">
        <f>'ATT 3 - VMT and VHT Estimates'!D24*0.93</f>
        <v>0</v>
      </c>
      <c r="C18" s="201">
        <f>'ATT 3 - VMT and VHT Estimates'!D24*0.07</f>
        <v>0</v>
      </c>
      <c r="D18" s="182">
        <f>'ATT 1 - Costs per Hour and Mile'!$B$24</f>
        <v>0.39847660792619155</v>
      </c>
      <c r="E18" s="183">
        <f>'ATT 1 - Costs per Hour and Mile'!$E$24</f>
        <v>0.9414229371126224</v>
      </c>
      <c r="F18" s="180">
        <f t="shared" si="0"/>
        <v>0</v>
      </c>
      <c r="G18" s="33">
        <f t="shared" si="1"/>
        <v>0</v>
      </c>
      <c r="H18" s="2">
        <f>F18*(1+'Total Benefit Cost'!$B$5)^(A18-$A$4)</f>
        <v>0</v>
      </c>
      <c r="K18" s="5"/>
    </row>
    <row r="19" spans="1:11" ht="15">
      <c r="A19" s="39">
        <v>2029</v>
      </c>
      <c r="B19" s="200">
        <f>'ATT 3 - VMT and VHT Estimates'!D25*0.93</f>
        <v>0</v>
      </c>
      <c r="C19" s="201">
        <f>'ATT 3 - VMT and VHT Estimates'!D25*0.07</f>
        <v>0</v>
      </c>
      <c r="D19" s="182">
        <f>'ATT 1 - Costs per Hour and Mile'!$B$24</f>
        <v>0.39847660792619155</v>
      </c>
      <c r="E19" s="183">
        <f>'ATT 1 - Costs per Hour and Mile'!$E$24</f>
        <v>0.9414229371126224</v>
      </c>
      <c r="F19" s="180">
        <f t="shared" si="0"/>
        <v>0</v>
      </c>
      <c r="G19" s="33">
        <f t="shared" si="1"/>
        <v>0</v>
      </c>
      <c r="H19" s="2">
        <f>F19*(1+'Total Benefit Cost'!$B$5)^(A19-$A$4)</f>
        <v>0</v>
      </c>
      <c r="K19" s="5"/>
    </row>
    <row r="20" spans="1:11" ht="15">
      <c r="A20" s="39">
        <v>2030</v>
      </c>
      <c r="B20" s="200">
        <f>'ATT 3 - VMT and VHT Estimates'!D26*0.93</f>
        <v>0</v>
      </c>
      <c r="C20" s="201">
        <f>'ATT 3 - VMT and VHT Estimates'!D26*0.07</f>
        <v>0</v>
      </c>
      <c r="D20" s="182">
        <f>'ATT 1 - Costs per Hour and Mile'!$B$24</f>
        <v>0.39847660792619155</v>
      </c>
      <c r="E20" s="183">
        <f>'ATT 1 - Costs per Hour and Mile'!$E$24</f>
        <v>0.9414229371126224</v>
      </c>
      <c r="F20" s="180">
        <f t="shared" si="0"/>
        <v>0</v>
      </c>
      <c r="G20" s="33">
        <f t="shared" si="1"/>
        <v>0</v>
      </c>
      <c r="H20" s="2">
        <f>F20*(1+'Total Benefit Cost'!$B$5)^(A20-$A$4)</f>
        <v>0</v>
      </c>
      <c r="K20" s="5"/>
    </row>
    <row r="21" spans="1:11" ht="15">
      <c r="A21" s="39">
        <v>2031</v>
      </c>
      <c r="B21" s="200">
        <f>'ATT 3 - VMT and VHT Estimates'!D27*0.93</f>
        <v>0</v>
      </c>
      <c r="C21" s="201">
        <f>'ATT 3 - VMT and VHT Estimates'!D27*0.07</f>
        <v>0</v>
      </c>
      <c r="D21" s="182">
        <f>'ATT 1 - Costs per Hour and Mile'!$B$24</f>
        <v>0.39847660792619155</v>
      </c>
      <c r="E21" s="183">
        <f>'ATT 1 - Costs per Hour and Mile'!$E$24</f>
        <v>0.9414229371126224</v>
      </c>
      <c r="F21" s="180">
        <f t="shared" si="0"/>
        <v>0</v>
      </c>
      <c r="G21" s="33">
        <f t="shared" si="1"/>
        <v>0</v>
      </c>
      <c r="H21" s="2">
        <f>F21*(1+'Total Benefit Cost'!$B$5)^(A21-$A$4)</f>
        <v>0</v>
      </c>
      <c r="K21" s="5"/>
    </row>
    <row r="22" spans="1:11" ht="15">
      <c r="A22" s="39">
        <v>2032</v>
      </c>
      <c r="B22" s="200">
        <f>'ATT 3 - VMT and VHT Estimates'!D28*0.93</f>
        <v>0</v>
      </c>
      <c r="C22" s="201">
        <f>'ATT 3 - VMT and VHT Estimates'!D28*0.07</f>
        <v>0</v>
      </c>
      <c r="D22" s="182">
        <f>'ATT 1 - Costs per Hour and Mile'!$B$24</f>
        <v>0.39847660792619155</v>
      </c>
      <c r="E22" s="183">
        <f>'ATT 1 - Costs per Hour and Mile'!$E$24</f>
        <v>0.9414229371126224</v>
      </c>
      <c r="F22" s="180">
        <f t="shared" si="0"/>
        <v>0</v>
      </c>
      <c r="G22" s="33">
        <f t="shared" si="1"/>
        <v>0</v>
      </c>
      <c r="H22" s="2">
        <f>F22*(1+'Total Benefit Cost'!$B$5)^(A22-$A$4)</f>
        <v>0</v>
      </c>
      <c r="K22" s="5"/>
    </row>
    <row r="23" spans="1:11" ht="15">
      <c r="A23" s="39">
        <v>2033</v>
      </c>
      <c r="B23" s="200">
        <f>'ATT 3 - VMT and VHT Estimates'!D29*0.93</f>
        <v>0</v>
      </c>
      <c r="C23" s="201">
        <f>'ATT 3 - VMT and VHT Estimates'!D29*0.07</f>
        <v>0</v>
      </c>
      <c r="D23" s="182">
        <f>'ATT 1 - Costs per Hour and Mile'!$B$24</f>
        <v>0.39847660792619155</v>
      </c>
      <c r="E23" s="183">
        <f>'ATT 1 - Costs per Hour and Mile'!$E$24</f>
        <v>0.9414229371126224</v>
      </c>
      <c r="F23" s="180">
        <f t="shared" si="0"/>
        <v>0</v>
      </c>
      <c r="G23" s="33">
        <f t="shared" si="1"/>
        <v>0</v>
      </c>
      <c r="H23" s="2">
        <f>F23*(1+'Total Benefit Cost'!$B$5)^(A23-$A$4)</f>
        <v>0</v>
      </c>
      <c r="K23" s="5"/>
    </row>
    <row r="24" spans="1:11" ht="15">
      <c r="A24" s="39">
        <v>2034</v>
      </c>
      <c r="B24" s="200">
        <f>'ATT 3 - VMT and VHT Estimates'!D30*0.93</f>
        <v>0</v>
      </c>
      <c r="C24" s="201">
        <f>'ATT 3 - VMT and VHT Estimates'!D30*0.07</f>
        <v>0</v>
      </c>
      <c r="D24" s="182">
        <f>'ATT 1 - Costs per Hour and Mile'!$B$24</f>
        <v>0.39847660792619155</v>
      </c>
      <c r="E24" s="183">
        <f>'ATT 1 - Costs per Hour and Mile'!$E$24</f>
        <v>0.9414229371126224</v>
      </c>
      <c r="F24" s="180">
        <f t="shared" si="0"/>
        <v>0</v>
      </c>
      <c r="G24" s="33">
        <f t="shared" si="1"/>
        <v>0</v>
      </c>
      <c r="H24" s="2">
        <f>F24*(1+'Total Benefit Cost'!$B$5)^(A24-$A$4)</f>
        <v>0</v>
      </c>
      <c r="K24" s="5"/>
    </row>
    <row r="25" spans="1:11" ht="15">
      <c r="A25" s="39">
        <v>2035</v>
      </c>
      <c r="B25" s="200">
        <f>'ATT 3 - VMT and VHT Estimates'!D31*0.93</f>
        <v>0</v>
      </c>
      <c r="C25" s="201">
        <f>'ATT 3 - VMT and VHT Estimates'!D31*0.07</f>
        <v>0</v>
      </c>
      <c r="D25" s="182">
        <f>'ATT 1 - Costs per Hour and Mile'!$B$24</f>
        <v>0.39847660792619155</v>
      </c>
      <c r="E25" s="183">
        <f>'ATT 1 - Costs per Hour and Mile'!$E$24</f>
        <v>0.9414229371126224</v>
      </c>
      <c r="F25" s="180">
        <f t="shared" si="0"/>
        <v>0</v>
      </c>
      <c r="G25" s="33">
        <f t="shared" si="1"/>
        <v>0</v>
      </c>
      <c r="H25" s="2">
        <f>F25*(1+'Total Benefit Cost'!$B$5)^(A25-$A$4)</f>
        <v>0</v>
      </c>
      <c r="K25" s="5"/>
    </row>
    <row r="26" spans="1:11" ht="15">
      <c r="A26" s="39">
        <v>2036</v>
      </c>
      <c r="B26" s="200">
        <f>'ATT 3 - VMT and VHT Estimates'!D32*0.93</f>
        <v>0</v>
      </c>
      <c r="C26" s="201">
        <f>'ATT 3 - VMT and VHT Estimates'!D32*0.07</f>
        <v>0</v>
      </c>
      <c r="D26" s="182">
        <f>'ATT 1 - Costs per Hour and Mile'!$B$24</f>
        <v>0.39847660792619155</v>
      </c>
      <c r="E26" s="183">
        <f>'ATT 1 - Costs per Hour and Mile'!$E$24</f>
        <v>0.9414229371126224</v>
      </c>
      <c r="F26" s="180">
        <f t="shared" si="0"/>
        <v>0</v>
      </c>
      <c r="G26" s="33">
        <f t="shared" si="1"/>
        <v>0</v>
      </c>
      <c r="H26" s="2">
        <f>F26*(1+'Total Benefit Cost'!$B$5)^(A26-$A$4)</f>
        <v>0</v>
      </c>
      <c r="K26" s="5"/>
    </row>
    <row r="27" spans="1:11" ht="15">
      <c r="A27" s="39">
        <v>2037</v>
      </c>
      <c r="B27" s="200">
        <f>'ATT 3 - VMT and VHT Estimates'!D33*0.93</f>
        <v>0</v>
      </c>
      <c r="C27" s="201">
        <f>'ATT 3 - VMT and VHT Estimates'!D33*0.07</f>
        <v>0</v>
      </c>
      <c r="D27" s="182">
        <f>'ATT 1 - Costs per Hour and Mile'!$B$24</f>
        <v>0.39847660792619155</v>
      </c>
      <c r="E27" s="183">
        <f>'ATT 1 - Costs per Hour and Mile'!$E$24</f>
        <v>0.9414229371126224</v>
      </c>
      <c r="F27" s="180">
        <f t="shared" si="0"/>
        <v>0</v>
      </c>
      <c r="G27" s="33">
        <f t="shared" si="1"/>
        <v>0</v>
      </c>
      <c r="H27" s="2">
        <f>F27*(1+'Total Benefit Cost'!$B$5)^(A27-$A$4)</f>
        <v>0</v>
      </c>
      <c r="K27" s="5"/>
    </row>
    <row r="28" spans="1:11" ht="15.75" thickBot="1">
      <c r="A28" s="40">
        <v>2038</v>
      </c>
      <c r="B28" s="202">
        <f>'ATT 3 - VMT and VHT Estimates'!D34*0.93</f>
        <v>0</v>
      </c>
      <c r="C28" s="203">
        <f>'ATT 3 - VMT and VHT Estimates'!D34*0.07</f>
        <v>0</v>
      </c>
      <c r="D28" s="184">
        <f>'ATT 1 - Costs per Hour and Mile'!$B$24</f>
        <v>0.39847660792619155</v>
      </c>
      <c r="E28" s="185">
        <f>'ATT 1 - Costs per Hour and Mile'!$E$24</f>
        <v>0.9414229371126224</v>
      </c>
      <c r="F28" s="181">
        <f t="shared" si="0"/>
        <v>0</v>
      </c>
      <c r="G28" s="36">
        <f t="shared" si="1"/>
        <v>0</v>
      </c>
      <c r="H28" s="2">
        <f>F28*(1+'Total Benefit Cost'!$B$5)^(A28-$A$4)</f>
        <v>0</v>
      </c>
      <c r="K28" s="5"/>
    </row>
    <row r="29" spans="1:7" ht="12.75">
      <c r="A29" s="295" t="s">
        <v>135</v>
      </c>
      <c r="B29" s="295"/>
      <c r="C29" s="295"/>
      <c r="D29" s="295"/>
      <c r="E29" s="295"/>
      <c r="F29" s="295"/>
      <c r="G29" s="295"/>
    </row>
  </sheetData>
  <sheetProtection/>
  <mergeCells count="9">
    <mergeCell ref="A29:G29"/>
    <mergeCell ref="H2:H3"/>
    <mergeCell ref="A2:A3"/>
    <mergeCell ref="A1:G1"/>
    <mergeCell ref="B2:C2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9.140625" style="5" customWidth="1"/>
    <col min="2" max="2" width="10.28125" style="5" bestFit="1" customWidth="1"/>
    <col min="3" max="3" width="13.421875" style="5" bestFit="1" customWidth="1"/>
    <col min="4" max="4" width="10.7109375" style="10" customWidth="1"/>
    <col min="5" max="5" width="12.7109375" style="8" customWidth="1"/>
    <col min="6" max="6" width="16.00390625" style="7" customWidth="1"/>
    <col min="7" max="7" width="16.57421875" style="7" customWidth="1"/>
    <col min="8" max="8" width="7.14062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98" t="s">
        <v>38</v>
      </c>
      <c r="B1" s="322"/>
      <c r="C1" s="322"/>
      <c r="D1" s="299"/>
      <c r="E1" s="299"/>
      <c r="F1" s="299"/>
      <c r="G1" s="300"/>
      <c r="H1" s="72"/>
    </row>
    <row r="2" spans="1:8" s="9" customFormat="1" ht="15" customHeight="1">
      <c r="A2" s="323" t="s">
        <v>0</v>
      </c>
      <c r="B2" s="162" t="s">
        <v>110</v>
      </c>
      <c r="C2" s="163" t="s">
        <v>111</v>
      </c>
      <c r="D2" s="315" t="s">
        <v>113</v>
      </c>
      <c r="E2" s="317" t="s">
        <v>112</v>
      </c>
      <c r="F2" s="325" t="s">
        <v>42</v>
      </c>
      <c r="G2" s="309" t="s">
        <v>41</v>
      </c>
      <c r="H2" s="303" t="s">
        <v>23</v>
      </c>
    </row>
    <row r="3" spans="1:11" ht="15.75" customHeight="1" thickBot="1">
      <c r="A3" s="324"/>
      <c r="B3" s="164" t="s">
        <v>114</v>
      </c>
      <c r="C3" s="165" t="s">
        <v>114</v>
      </c>
      <c r="D3" s="316"/>
      <c r="E3" s="318"/>
      <c r="F3" s="326"/>
      <c r="G3" s="310"/>
      <c r="H3" s="304"/>
      <c r="K3" s="5"/>
    </row>
    <row r="4" spans="1:11" ht="15">
      <c r="A4" s="30">
        <v>2014</v>
      </c>
      <c r="B4" s="173">
        <f>'ATT 3 - VMT and VHT Estimates'!B10</f>
        <v>15240</v>
      </c>
      <c r="C4" s="174">
        <f>'ATT 3 - VMT and VHT Estimates'!C10</f>
        <v>15240</v>
      </c>
      <c r="D4" s="169">
        <f>'ATT 1 - Costs per Hour and Mile'!$C$34</f>
        <v>0.4814708174</v>
      </c>
      <c r="E4" s="170">
        <f>'ATT 1 - Costs per Hour and Mile'!$C$34</f>
        <v>0.4814708174</v>
      </c>
      <c r="F4" s="166">
        <f>C4*E4-(B4*(D4*0.9+E4*0.1))</f>
        <v>0</v>
      </c>
      <c r="G4" s="37">
        <f>F4*365</f>
        <v>0</v>
      </c>
      <c r="H4" s="2">
        <f>F4*(1+'Total Benefit Cost'!$B$5)^(A4-$A$4)</f>
        <v>0</v>
      </c>
      <c r="K4" s="5"/>
    </row>
    <row r="5" spans="1:11" ht="15">
      <c r="A5" s="31">
        <v>2015</v>
      </c>
      <c r="B5" s="173">
        <f>'ATT 3 - VMT and VHT Estimates'!B11</f>
        <v>15517.5</v>
      </c>
      <c r="C5" s="174">
        <f>'ATT 3 - VMT and VHT Estimates'!C11</f>
        <v>15517.5</v>
      </c>
      <c r="D5" s="169">
        <f>'ATT 1 - Costs per Hour and Mile'!$C$34</f>
        <v>0.4814708174</v>
      </c>
      <c r="E5" s="170">
        <f>'ATT 1 - Costs per Hour and Mile'!$C$34</f>
        <v>0.4814708174</v>
      </c>
      <c r="F5" s="167">
        <f aca="true" t="shared" si="0" ref="F5:F28">C5*E5-(B5*(D5*0.9+E5*0.1))</f>
        <v>0</v>
      </c>
      <c r="G5" s="33">
        <f aca="true" t="shared" si="1" ref="G5:G28">F5*365</f>
        <v>0</v>
      </c>
      <c r="H5" s="2"/>
      <c r="K5" s="5"/>
    </row>
    <row r="6" spans="1:11" ht="15">
      <c r="A6" s="31">
        <v>2016</v>
      </c>
      <c r="B6" s="173">
        <f>'ATT 3 - VMT and VHT Estimates'!B12</f>
        <v>15795</v>
      </c>
      <c r="C6" s="174">
        <f>'ATT 3 - VMT and VHT Estimates'!C12</f>
        <v>15795</v>
      </c>
      <c r="D6" s="169">
        <f>'ATT 1 - Costs per Hour and Mile'!$C$34</f>
        <v>0.4814708174</v>
      </c>
      <c r="E6" s="170">
        <f>'ATT 1 - Costs per Hour and Mile'!$C$34</f>
        <v>0.4814708174</v>
      </c>
      <c r="F6" s="167">
        <f t="shared" si="0"/>
        <v>0</v>
      </c>
      <c r="G6" s="33">
        <f t="shared" si="1"/>
        <v>0</v>
      </c>
      <c r="H6" s="2"/>
      <c r="K6" s="5"/>
    </row>
    <row r="7" spans="1:11" ht="15">
      <c r="A7" s="31">
        <v>2017</v>
      </c>
      <c r="B7" s="173">
        <f>'ATT 3 - VMT and VHT Estimates'!B13</f>
        <v>16072.5</v>
      </c>
      <c r="C7" s="174">
        <f>'ATT 3 - VMT and VHT Estimates'!C13</f>
        <v>16072.5</v>
      </c>
      <c r="D7" s="169">
        <f>'ATT 1 - Costs per Hour and Mile'!$C$34</f>
        <v>0.4814708174</v>
      </c>
      <c r="E7" s="170">
        <f>'ATT 1 - Costs per Hour and Mile'!$C$34</f>
        <v>0.4814708174</v>
      </c>
      <c r="F7" s="167">
        <f t="shared" si="0"/>
        <v>0</v>
      </c>
      <c r="G7" s="33">
        <f t="shared" si="1"/>
        <v>0</v>
      </c>
      <c r="H7" s="2"/>
      <c r="K7" s="5"/>
    </row>
    <row r="8" spans="1:11" ht="15">
      <c r="A8" s="31">
        <v>2018</v>
      </c>
      <c r="B8" s="173">
        <f>'ATT 3 - VMT and VHT Estimates'!B14</f>
        <v>16350</v>
      </c>
      <c r="C8" s="174">
        <f>'ATT 3 - VMT and VHT Estimates'!C14</f>
        <v>16350</v>
      </c>
      <c r="D8" s="169">
        <f>'ATT 1 - Costs per Hour and Mile'!$C$34</f>
        <v>0.4814708174</v>
      </c>
      <c r="E8" s="170">
        <f>'ATT 1 - Costs per Hour and Mile'!$C$34</f>
        <v>0.4814708174</v>
      </c>
      <c r="F8" s="167">
        <f t="shared" si="0"/>
        <v>0</v>
      </c>
      <c r="G8" s="33">
        <f t="shared" si="1"/>
        <v>0</v>
      </c>
      <c r="H8" s="2"/>
      <c r="K8" s="5"/>
    </row>
    <row r="9" spans="1:11" ht="15">
      <c r="A9" s="31">
        <v>2019</v>
      </c>
      <c r="B9" s="173">
        <f>'ATT 3 - VMT and VHT Estimates'!B15</f>
        <v>16627.5</v>
      </c>
      <c r="C9" s="174">
        <f>'ATT 3 - VMT and VHT Estimates'!C15</f>
        <v>16627.5</v>
      </c>
      <c r="D9" s="169">
        <f>'ATT 1 - Costs per Hour and Mile'!$B$34</f>
        <v>0.3602465344</v>
      </c>
      <c r="E9" s="170">
        <f>'ATT 1 - Costs per Hour and Mile'!$C$34</f>
        <v>0.4814708174</v>
      </c>
      <c r="F9" s="167">
        <f>C9*E9-(B9*(D9*0.9+E9*0.1))</f>
        <v>1814.0910890242503</v>
      </c>
      <c r="G9" s="33">
        <f t="shared" si="1"/>
        <v>662143.2474938513</v>
      </c>
      <c r="H9" s="2"/>
      <c r="K9" s="5"/>
    </row>
    <row r="10" spans="1:11" ht="15">
      <c r="A10" s="31">
        <v>2020</v>
      </c>
      <c r="B10" s="173">
        <f>'ATT 3 - VMT and VHT Estimates'!B16</f>
        <v>16905</v>
      </c>
      <c r="C10" s="174">
        <f>'ATT 3 - VMT and VHT Estimates'!C16</f>
        <v>16905</v>
      </c>
      <c r="D10" s="169">
        <f>'ATT 1 - Costs per Hour and Mile'!$B$34</f>
        <v>0.3602465344</v>
      </c>
      <c r="E10" s="170">
        <f>'ATT 1 - Costs per Hour and Mile'!$C$34</f>
        <v>0.4814708174</v>
      </c>
      <c r="F10" s="167">
        <f t="shared" si="0"/>
        <v>1844.3668537035</v>
      </c>
      <c r="G10" s="33">
        <f t="shared" si="1"/>
        <v>673193.9016017775</v>
      </c>
      <c r="H10" s="2">
        <f>F10*(1+'Total Benefit Cost'!$B$5)^(A10-$A$4)</f>
        <v>1844.3668537035</v>
      </c>
      <c r="J10" s="23"/>
      <c r="K10" s="5"/>
    </row>
    <row r="11" spans="1:11" ht="15">
      <c r="A11" s="31">
        <v>2021</v>
      </c>
      <c r="B11" s="173">
        <f>'ATT 3 - VMT and VHT Estimates'!B17</f>
        <v>17182.5</v>
      </c>
      <c r="C11" s="174">
        <f>'ATT 3 - VMT and VHT Estimates'!C17</f>
        <v>17182.5</v>
      </c>
      <c r="D11" s="169">
        <f>'ATT 1 - Costs per Hour and Mile'!$B$34</f>
        <v>0.3602465344</v>
      </c>
      <c r="E11" s="170">
        <f>'ATT 1 - Costs per Hour and Mile'!$C$34</f>
        <v>0.4814708174</v>
      </c>
      <c r="F11" s="167">
        <f t="shared" si="0"/>
        <v>1874.6426183827507</v>
      </c>
      <c r="G11" s="33">
        <f t="shared" si="1"/>
        <v>684244.5557097041</v>
      </c>
      <c r="H11" s="2">
        <f>F11*(1+'Total Benefit Cost'!$B$5)^(A11-$A$4)</f>
        <v>1874.6426183827507</v>
      </c>
      <c r="K11" s="5"/>
    </row>
    <row r="12" spans="1:11" ht="15">
      <c r="A12" s="31">
        <v>2022</v>
      </c>
      <c r="B12" s="173">
        <f>'ATT 3 - VMT and VHT Estimates'!B18</f>
        <v>17460</v>
      </c>
      <c r="C12" s="174">
        <f>'ATT 3 - VMT and VHT Estimates'!C18</f>
        <v>17460</v>
      </c>
      <c r="D12" s="169">
        <f>'ATT 1 - Costs per Hour and Mile'!$B$34</f>
        <v>0.3602465344</v>
      </c>
      <c r="E12" s="170">
        <f>'ATT 1 - Costs per Hour and Mile'!$C$34</f>
        <v>0.4814708174</v>
      </c>
      <c r="F12" s="167">
        <f t="shared" si="0"/>
        <v>1904.9183830620004</v>
      </c>
      <c r="G12" s="33">
        <f t="shared" si="1"/>
        <v>695295.2098176301</v>
      </c>
      <c r="H12" s="2">
        <f>F12*(1+'Total Benefit Cost'!$B$5)^(A12-$A$4)</f>
        <v>1904.9183830620004</v>
      </c>
      <c r="K12" s="5"/>
    </row>
    <row r="13" spans="1:11" ht="15">
      <c r="A13" s="31">
        <v>2023</v>
      </c>
      <c r="B13" s="173">
        <f>'ATT 3 - VMT and VHT Estimates'!B19</f>
        <v>17737.5</v>
      </c>
      <c r="C13" s="174">
        <f>'ATT 3 - VMT and VHT Estimates'!C19</f>
        <v>17737.5</v>
      </c>
      <c r="D13" s="169">
        <f>'ATT 1 - Costs per Hour and Mile'!$B$34</f>
        <v>0.3602465344</v>
      </c>
      <c r="E13" s="170">
        <f>'ATT 1 - Costs per Hour and Mile'!$C$34</f>
        <v>0.4814708174</v>
      </c>
      <c r="F13" s="167">
        <f t="shared" si="0"/>
        <v>1935.1941477412493</v>
      </c>
      <c r="G13" s="33">
        <f t="shared" si="1"/>
        <v>706345.863925556</v>
      </c>
      <c r="H13" s="2">
        <f>F13*(1+'Total Benefit Cost'!$B$5)^(A13-$A$4)</f>
        <v>1935.1941477412493</v>
      </c>
      <c r="K13" s="5"/>
    </row>
    <row r="14" spans="1:11" ht="15">
      <c r="A14" s="31">
        <v>2024</v>
      </c>
      <c r="B14" s="173">
        <f>'ATT 3 - VMT and VHT Estimates'!B20</f>
        <v>18015</v>
      </c>
      <c r="C14" s="174">
        <f>'ATT 3 - VMT and VHT Estimates'!C20</f>
        <v>18015</v>
      </c>
      <c r="D14" s="169">
        <f>'ATT 1 - Costs per Hour and Mile'!$B$34</f>
        <v>0.3602465344</v>
      </c>
      <c r="E14" s="170">
        <f>'ATT 1 - Costs per Hour and Mile'!$C$34</f>
        <v>0.4814708174</v>
      </c>
      <c r="F14" s="167">
        <f t="shared" si="0"/>
        <v>1965.4699124205</v>
      </c>
      <c r="G14" s="33">
        <f t="shared" si="1"/>
        <v>717396.5180334825</v>
      </c>
      <c r="H14" s="2">
        <f>F14*(1+'Total Benefit Cost'!$B$5)^(A14-$A$4)</f>
        <v>1965.4699124205</v>
      </c>
      <c r="K14" s="5"/>
    </row>
    <row r="15" spans="1:11" ht="15">
      <c r="A15" s="31">
        <v>2025</v>
      </c>
      <c r="B15" s="173">
        <f>'ATT 3 - VMT and VHT Estimates'!B21</f>
        <v>18292.5</v>
      </c>
      <c r="C15" s="174">
        <f>'ATT 3 - VMT and VHT Estimates'!C21</f>
        <v>18292.5</v>
      </c>
      <c r="D15" s="169">
        <f>'ATT 1 - Costs per Hour and Mile'!$B$34</f>
        <v>0.3602465344</v>
      </c>
      <c r="E15" s="170">
        <f>'ATT 1 - Costs per Hour and Mile'!$C$34</f>
        <v>0.4814708174</v>
      </c>
      <c r="F15" s="167">
        <f t="shared" si="0"/>
        <v>1995.7456770997487</v>
      </c>
      <c r="G15" s="33">
        <f t="shared" si="1"/>
        <v>728447.1721414083</v>
      </c>
      <c r="H15" s="2">
        <f>F15*(1+'Total Benefit Cost'!$B$5)^(A15-$A$4)</f>
        <v>1995.7456770997487</v>
      </c>
      <c r="K15" s="5"/>
    </row>
    <row r="16" spans="1:11" ht="15">
      <c r="A16" s="31">
        <v>2026</v>
      </c>
      <c r="B16" s="173">
        <f>'ATT 3 - VMT and VHT Estimates'!B22</f>
        <v>18570</v>
      </c>
      <c r="C16" s="174">
        <f>'ATT 3 - VMT and VHT Estimates'!C22</f>
        <v>18570</v>
      </c>
      <c r="D16" s="169">
        <f>'ATT 1 - Costs per Hour and Mile'!$B$34</f>
        <v>0.3602465344</v>
      </c>
      <c r="E16" s="170">
        <f>'ATT 1 - Costs per Hour and Mile'!$C$34</f>
        <v>0.4814708174</v>
      </c>
      <c r="F16" s="167">
        <f t="shared" si="0"/>
        <v>2026.0214417790003</v>
      </c>
      <c r="G16" s="33">
        <f t="shared" si="1"/>
        <v>739497.8262493351</v>
      </c>
      <c r="H16" s="2">
        <f>F16*(1+'Total Benefit Cost'!$B$5)^(A16-$A$4)</f>
        <v>2026.0214417790003</v>
      </c>
      <c r="K16" s="5"/>
    </row>
    <row r="17" spans="1:11" ht="15">
      <c r="A17" s="31">
        <v>2027</v>
      </c>
      <c r="B17" s="173">
        <f>'ATT 3 - VMT and VHT Estimates'!B23</f>
        <v>18847.5</v>
      </c>
      <c r="C17" s="174">
        <f>'ATT 3 - VMT and VHT Estimates'!C23</f>
        <v>18847.5</v>
      </c>
      <c r="D17" s="169">
        <f>'ATT 1 - Costs per Hour and Mile'!$B$34</f>
        <v>0.3602465344</v>
      </c>
      <c r="E17" s="170">
        <f>'ATT 1 - Costs per Hour and Mile'!$C$34</f>
        <v>0.4814708174</v>
      </c>
      <c r="F17" s="167">
        <f t="shared" si="0"/>
        <v>2056.297206458249</v>
      </c>
      <c r="G17" s="33">
        <f t="shared" si="1"/>
        <v>750548.4803572609</v>
      </c>
      <c r="H17" s="2">
        <f>F17*(1+'Total Benefit Cost'!$B$5)^(A17-$A$4)</f>
        <v>2056.297206458249</v>
      </c>
      <c r="K17" s="5"/>
    </row>
    <row r="18" spans="1:11" ht="15">
      <c r="A18" s="31">
        <v>2028</v>
      </c>
      <c r="B18" s="173">
        <f>'ATT 3 - VMT and VHT Estimates'!B24</f>
        <v>19125</v>
      </c>
      <c r="C18" s="174">
        <f>'ATT 3 - VMT and VHT Estimates'!C24</f>
        <v>19125</v>
      </c>
      <c r="D18" s="169">
        <f>'ATT 1 - Costs per Hour and Mile'!$B$34</f>
        <v>0.3602465344</v>
      </c>
      <c r="E18" s="170">
        <f>'ATT 1 - Costs per Hour and Mile'!$C$34</f>
        <v>0.4814708174</v>
      </c>
      <c r="F18" s="167">
        <f t="shared" si="0"/>
        <v>2086.5729711374997</v>
      </c>
      <c r="G18" s="33">
        <f t="shared" si="1"/>
        <v>761599.1344651874</v>
      </c>
      <c r="H18" s="2">
        <f>F18*(1+'Total Benefit Cost'!$B$5)^(A18-$A$4)</f>
        <v>2086.5729711374997</v>
      </c>
      <c r="K18" s="5"/>
    </row>
    <row r="19" spans="1:11" ht="15">
      <c r="A19" s="31">
        <v>2029</v>
      </c>
      <c r="B19" s="173">
        <f>'ATT 3 - VMT and VHT Estimates'!B25</f>
        <v>19402.5</v>
      </c>
      <c r="C19" s="174">
        <f>'ATT 3 - VMT and VHT Estimates'!C25</f>
        <v>19402.5</v>
      </c>
      <c r="D19" s="169">
        <f>'ATT 1 - Costs per Hour and Mile'!$B$34</f>
        <v>0.3602465344</v>
      </c>
      <c r="E19" s="170">
        <f>'ATT 1 - Costs per Hour and Mile'!$C$34</f>
        <v>0.4814708174</v>
      </c>
      <c r="F19" s="167">
        <f t="shared" si="0"/>
        <v>2116.8487358167495</v>
      </c>
      <c r="G19" s="33">
        <f t="shared" si="1"/>
        <v>772649.7885731135</v>
      </c>
      <c r="H19" s="2">
        <f>F19*(1+'Total Benefit Cost'!$B$5)^(A19-$A$4)</f>
        <v>2116.8487358167495</v>
      </c>
      <c r="K19" s="5"/>
    </row>
    <row r="20" spans="1:11" ht="15">
      <c r="A20" s="31">
        <v>2030</v>
      </c>
      <c r="B20" s="173">
        <f>'ATT 3 - VMT and VHT Estimates'!B26</f>
        <v>19680</v>
      </c>
      <c r="C20" s="174">
        <f>'ATT 3 - VMT and VHT Estimates'!C26</f>
        <v>19680</v>
      </c>
      <c r="D20" s="169">
        <f>'ATT 1 - Costs per Hour and Mile'!$B$34</f>
        <v>0.3602465344</v>
      </c>
      <c r="E20" s="170">
        <f>'ATT 1 - Costs per Hour and Mile'!$C$34</f>
        <v>0.4814708174</v>
      </c>
      <c r="F20" s="167">
        <f t="shared" si="0"/>
        <v>2147.124500496</v>
      </c>
      <c r="G20" s="33">
        <f t="shared" si="1"/>
        <v>783700.44268104</v>
      </c>
      <c r="H20" s="2">
        <f>F20*(1+'Total Benefit Cost'!$B$5)^(A20-$A$4)</f>
        <v>2147.124500496</v>
      </c>
      <c r="K20" s="5"/>
    </row>
    <row r="21" spans="1:11" ht="15">
      <c r="A21" s="31">
        <v>2031</v>
      </c>
      <c r="B21" s="173">
        <f>'ATT 3 - VMT and VHT Estimates'!B27</f>
        <v>19957.5</v>
      </c>
      <c r="C21" s="174">
        <f>'ATT 3 - VMT and VHT Estimates'!C27</f>
        <v>19957.5</v>
      </c>
      <c r="D21" s="169">
        <f>'ATT 1 - Costs per Hour and Mile'!$B$34</f>
        <v>0.3602465344</v>
      </c>
      <c r="E21" s="170">
        <f>'ATT 1 - Costs per Hour and Mile'!$C$34</f>
        <v>0.4814708174</v>
      </c>
      <c r="F21" s="167">
        <f t="shared" si="0"/>
        <v>2177.400265175249</v>
      </c>
      <c r="G21" s="33">
        <f t="shared" si="1"/>
        <v>794751.0967889659</v>
      </c>
      <c r="H21" s="2">
        <f>F21*(1+'Total Benefit Cost'!$B$5)^(A21-$A$4)</f>
        <v>2177.400265175249</v>
      </c>
      <c r="K21" s="5"/>
    </row>
    <row r="22" spans="1:11" ht="15">
      <c r="A22" s="31">
        <v>2032</v>
      </c>
      <c r="B22" s="173">
        <f>'ATT 3 - VMT and VHT Estimates'!B28</f>
        <v>20235</v>
      </c>
      <c r="C22" s="174">
        <f>'ATT 3 - VMT and VHT Estimates'!C28</f>
        <v>20235</v>
      </c>
      <c r="D22" s="169">
        <f>'ATT 1 - Costs per Hour and Mile'!$B$34</f>
        <v>0.3602465344</v>
      </c>
      <c r="E22" s="170">
        <f>'ATT 1 - Costs per Hour and Mile'!$C$34</f>
        <v>0.4814708174</v>
      </c>
      <c r="F22" s="167">
        <f t="shared" si="0"/>
        <v>2207.6760298545005</v>
      </c>
      <c r="G22" s="33">
        <f t="shared" si="1"/>
        <v>805801.7508968926</v>
      </c>
      <c r="H22" s="2">
        <f>F22*(1+'Total Benefit Cost'!$B$5)^(A22-$A$4)</f>
        <v>2207.6760298545005</v>
      </c>
      <c r="K22" s="5"/>
    </row>
    <row r="23" spans="1:11" ht="15">
      <c r="A23" s="31">
        <v>2033</v>
      </c>
      <c r="B23" s="173">
        <f>'ATT 3 - VMT and VHT Estimates'!B29</f>
        <v>20512.5</v>
      </c>
      <c r="C23" s="174">
        <f>'ATT 3 - VMT and VHT Estimates'!C29</f>
        <v>20512.5</v>
      </c>
      <c r="D23" s="169">
        <f>'ATT 1 - Costs per Hour and Mile'!$B$34</f>
        <v>0.3602465344</v>
      </c>
      <c r="E23" s="170">
        <f>'ATT 1 - Costs per Hour and Mile'!$C$34</f>
        <v>0.4814708174</v>
      </c>
      <c r="F23" s="167">
        <f t="shared" si="0"/>
        <v>2237.9517945337493</v>
      </c>
      <c r="G23" s="33">
        <f t="shared" si="1"/>
        <v>816852.4050048185</v>
      </c>
      <c r="H23" s="2">
        <f>F23*(1+'Total Benefit Cost'!$B$5)^(A23-$A$4)</f>
        <v>2237.9517945337493</v>
      </c>
      <c r="K23" s="5"/>
    </row>
    <row r="24" spans="1:11" ht="15">
      <c r="A24" s="31">
        <v>2034</v>
      </c>
      <c r="B24" s="173">
        <f>'ATT 3 - VMT and VHT Estimates'!B30</f>
        <v>20790</v>
      </c>
      <c r="C24" s="174">
        <f>'ATT 3 - VMT and VHT Estimates'!C30</f>
        <v>20790</v>
      </c>
      <c r="D24" s="169">
        <f>'ATT 1 - Costs per Hour and Mile'!$B$34</f>
        <v>0.3602465344</v>
      </c>
      <c r="E24" s="170">
        <f>'ATT 1 - Costs per Hour and Mile'!$C$34</f>
        <v>0.4814708174</v>
      </c>
      <c r="F24" s="167">
        <f t="shared" si="0"/>
        <v>2268.227559213</v>
      </c>
      <c r="G24" s="33">
        <f t="shared" si="1"/>
        <v>827903.059112745</v>
      </c>
      <c r="H24" s="2">
        <f>F24*(1+'Total Benefit Cost'!$B$5)^(A24-$A$4)</f>
        <v>2268.227559213</v>
      </c>
      <c r="K24" s="5"/>
    </row>
    <row r="25" spans="1:11" ht="15">
      <c r="A25" s="31">
        <v>2035</v>
      </c>
      <c r="B25" s="173">
        <f>'ATT 3 - VMT and VHT Estimates'!B31</f>
        <v>21067.5</v>
      </c>
      <c r="C25" s="174">
        <f>'ATT 3 - VMT and VHT Estimates'!C31</f>
        <v>21067.5</v>
      </c>
      <c r="D25" s="169">
        <f>'ATT 1 - Costs per Hour and Mile'!$B$34</f>
        <v>0.3602465344</v>
      </c>
      <c r="E25" s="170">
        <f>'ATT 1 - Costs per Hour and Mile'!$C$34</f>
        <v>0.4814708174</v>
      </c>
      <c r="F25" s="167">
        <f t="shared" si="0"/>
        <v>2298.5033238922497</v>
      </c>
      <c r="G25" s="33">
        <f t="shared" si="1"/>
        <v>838953.7132206712</v>
      </c>
      <c r="H25" s="2">
        <f>F25*(1+'Total Benefit Cost'!$B$5)^(A25-$A$4)</f>
        <v>2298.5033238922497</v>
      </c>
      <c r="K25" s="5"/>
    </row>
    <row r="26" spans="1:11" ht="15">
      <c r="A26" s="31">
        <v>2036</v>
      </c>
      <c r="B26" s="173">
        <f>'ATT 3 - VMT and VHT Estimates'!B32</f>
        <v>21345</v>
      </c>
      <c r="C26" s="174">
        <f>'ATT 3 - VMT and VHT Estimates'!C32</f>
        <v>21345</v>
      </c>
      <c r="D26" s="169">
        <f>'ATT 1 - Costs per Hour and Mile'!$B$34</f>
        <v>0.3602465344</v>
      </c>
      <c r="E26" s="170">
        <f>'ATT 1 - Costs per Hour and Mile'!$C$34</f>
        <v>0.4814708174</v>
      </c>
      <c r="F26" s="167">
        <f t="shared" si="0"/>
        <v>2328.7790885715003</v>
      </c>
      <c r="G26" s="33">
        <f t="shared" si="1"/>
        <v>850004.3673285976</v>
      </c>
      <c r="H26" s="2">
        <f>F26*(1+'Total Benefit Cost'!$B$5)^(A26-$A$4)</f>
        <v>2328.7790885715003</v>
      </c>
      <c r="K26" s="5"/>
    </row>
    <row r="27" spans="1:11" ht="15">
      <c r="A27" s="31">
        <v>2037</v>
      </c>
      <c r="B27" s="173">
        <f>'ATT 3 - VMT and VHT Estimates'!B33</f>
        <v>21622.5</v>
      </c>
      <c r="C27" s="174">
        <f>'ATT 3 - VMT and VHT Estimates'!C33</f>
        <v>21622.5</v>
      </c>
      <c r="D27" s="169">
        <f>'ATT 1 - Costs per Hour and Mile'!$B$34</f>
        <v>0.3602465344</v>
      </c>
      <c r="E27" s="170">
        <f>'ATT 1 - Costs per Hour and Mile'!$C$34</f>
        <v>0.4814708174</v>
      </c>
      <c r="F27" s="167">
        <f t="shared" si="0"/>
        <v>2359.054853250749</v>
      </c>
      <c r="G27" s="33">
        <f t="shared" si="1"/>
        <v>861055.0214365234</v>
      </c>
      <c r="H27" s="2">
        <f>F27*(1+'Total Benefit Cost'!$B$5)^(A27-$A$4)</f>
        <v>2359.054853250749</v>
      </c>
      <c r="K27" s="5"/>
    </row>
    <row r="28" spans="1:11" ht="15.75" thickBot="1">
      <c r="A28" s="32">
        <v>2038</v>
      </c>
      <c r="B28" s="175">
        <f>'ATT 3 - VMT and VHT Estimates'!B34</f>
        <v>21900</v>
      </c>
      <c r="C28" s="176">
        <f>'ATT 3 - VMT and VHT Estimates'!C34</f>
        <v>21900</v>
      </c>
      <c r="D28" s="171">
        <f>'ATT 1 - Costs per Hour and Mile'!$B$34</f>
        <v>0.3602465344</v>
      </c>
      <c r="E28" s="172">
        <f>'ATT 1 - Costs per Hour and Mile'!$C$34</f>
        <v>0.4814708174</v>
      </c>
      <c r="F28" s="168">
        <f t="shared" si="0"/>
        <v>2389.3306179300007</v>
      </c>
      <c r="G28" s="36">
        <f t="shared" si="1"/>
        <v>872105.6755444503</v>
      </c>
      <c r="H28" s="2">
        <f>F28*(1+'Total Benefit Cost'!$B$5)^(A28-$A$4)</f>
        <v>2389.3306179300007</v>
      </c>
      <c r="K28" s="5"/>
    </row>
    <row r="29" spans="1:7" ht="12.75">
      <c r="A29" s="295" t="s">
        <v>136</v>
      </c>
      <c r="B29" s="295"/>
      <c r="C29" s="295"/>
      <c r="D29" s="295"/>
      <c r="E29" s="295"/>
      <c r="F29" s="295"/>
      <c r="G29" s="295"/>
    </row>
  </sheetData>
  <sheetProtection/>
  <mergeCells count="8">
    <mergeCell ref="A29:G29"/>
    <mergeCell ref="H2:H3"/>
    <mergeCell ref="A1:G1"/>
    <mergeCell ref="A2:A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2014-08-06T14:03:56Z</dcterms:modified>
  <cp:category/>
  <cp:version/>
  <cp:contentType/>
  <cp:contentStatus/>
</cp:coreProperties>
</file>